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Foglio1!$A$1:$W$76</definedName>
  </definedNames>
  <calcPr calcId="145621"/>
</workbook>
</file>

<file path=xl/calcChain.xml><?xml version="1.0" encoding="utf-8"?>
<calcChain xmlns="http://schemas.openxmlformats.org/spreadsheetml/2006/main">
  <c r="F55" i="1" l="1"/>
  <c r="F48" i="1"/>
  <c r="F46" i="1"/>
  <c r="E48" i="1"/>
  <c r="D51" i="1"/>
  <c r="D52" i="1"/>
  <c r="D50" i="1"/>
  <c r="D49" i="1"/>
  <c r="D53" i="1"/>
  <c r="W50" i="1" l="1"/>
  <c r="W46" i="1"/>
  <c r="U23" i="1" l="1"/>
  <c r="S32" i="1"/>
  <c r="K58" i="1" l="1"/>
  <c r="T64" i="1"/>
  <c r="R64" i="1"/>
  <c r="S64" i="1"/>
  <c r="U49" i="1"/>
  <c r="S49" i="1"/>
  <c r="R49" i="1"/>
  <c r="Q49" i="1"/>
  <c r="P49" i="1"/>
  <c r="O49" i="1"/>
  <c r="N49" i="1"/>
  <c r="N48" i="1"/>
  <c r="W54" i="1"/>
  <c r="E23" i="2" l="1"/>
  <c r="E21" i="2"/>
  <c r="S47" i="1"/>
  <c r="S46" i="1"/>
  <c r="H58" i="1" l="1"/>
  <c r="W52" i="1" l="1"/>
  <c r="S52" i="1"/>
  <c r="R52" i="1"/>
  <c r="O51" i="1"/>
  <c r="T51" i="1" s="1"/>
  <c r="S53" i="1"/>
  <c r="R53" i="1"/>
  <c r="T54" i="1"/>
  <c r="R54" i="1"/>
  <c r="S54" i="1" s="1"/>
  <c r="U52" i="1" l="1"/>
  <c r="U54" i="1"/>
  <c r="R51" i="1"/>
  <c r="S51" i="1" s="1"/>
  <c r="U51" i="1" s="1"/>
  <c r="U53" i="1"/>
  <c r="O17" i="1" l="1"/>
  <c r="T17" i="1" s="1"/>
  <c r="R27" i="1"/>
  <c r="R17" i="1" l="1"/>
  <c r="S17" i="1" s="1"/>
  <c r="L63" i="1"/>
  <c r="W58" i="1"/>
  <c r="W59" i="1" s="1"/>
  <c r="V57" i="1"/>
  <c r="V56" i="1"/>
  <c r="N43" i="1"/>
  <c r="O55" i="1" l="1"/>
  <c r="T55" i="1" s="1"/>
  <c r="O47" i="1"/>
  <c r="R55" i="1" l="1"/>
  <c r="U55" i="1" s="1"/>
  <c r="U47" i="1"/>
  <c r="O57" i="1"/>
  <c r="R57" i="1" s="1"/>
  <c r="S57" i="1" s="1"/>
  <c r="U57" i="1" s="1"/>
  <c r="O43" i="1" l="1"/>
  <c r="R43" i="1" l="1"/>
  <c r="S43" i="1" s="1"/>
  <c r="U43" i="1" s="1"/>
  <c r="O46" i="1"/>
  <c r="V43" i="1" l="1"/>
  <c r="O11" i="1"/>
  <c r="O56" i="1" l="1"/>
  <c r="R56" i="1" s="1"/>
  <c r="S56" i="1" l="1"/>
  <c r="U56" i="1" s="1"/>
  <c r="O63" i="1"/>
  <c r="T63" i="1" s="1"/>
  <c r="R63" i="1" l="1"/>
  <c r="S63" i="1" s="1"/>
  <c r="U63" i="1" l="1"/>
  <c r="V63" i="1"/>
  <c r="O45" i="1"/>
  <c r="L45" i="1" s="1"/>
  <c r="R45" i="1" l="1"/>
  <c r="S45" i="1" s="1"/>
  <c r="U45" i="1" s="1"/>
  <c r="O39" i="1"/>
  <c r="R39" i="1" s="1"/>
  <c r="S39" i="1" l="1"/>
  <c r="W39" i="1" s="1"/>
  <c r="T39" i="1"/>
  <c r="O50" i="1"/>
  <c r="T50" i="1" s="1"/>
  <c r="V39" i="1" l="1"/>
  <c r="U39" i="1"/>
  <c r="R50" i="1"/>
  <c r="S50" i="1" s="1"/>
  <c r="U50" i="1" s="1"/>
  <c r="L11" i="1"/>
  <c r="W35" i="1" l="1"/>
  <c r="U31" i="1" l="1"/>
  <c r="O25" i="1" l="1"/>
  <c r="L25" i="1" s="1"/>
  <c r="R25" i="1" l="1"/>
  <c r="S25" i="1" s="1"/>
  <c r="T25" i="1"/>
  <c r="U25" i="1" l="1"/>
  <c r="R11" i="1"/>
  <c r="U11" i="1" s="1"/>
  <c r="W11" i="1" s="1"/>
  <c r="U46" i="1" l="1"/>
  <c r="U27" i="1"/>
  <c r="O42" i="1"/>
  <c r="O41" i="1"/>
  <c r="O40" i="1"/>
  <c r="O38" i="1"/>
  <c r="R38" i="1" s="1"/>
  <c r="O37" i="1"/>
  <c r="O36" i="1"/>
  <c r="T36" i="1" s="1"/>
  <c r="O35" i="1"/>
  <c r="O34" i="1"/>
  <c r="O33" i="1"/>
  <c r="T33" i="1" s="1"/>
  <c r="O32" i="1"/>
  <c r="O30" i="1"/>
  <c r="O29" i="1"/>
  <c r="T29" i="1" s="1"/>
  <c r="O28" i="1"/>
  <c r="T27" i="1"/>
  <c r="O26" i="1"/>
  <c r="R26" i="1" s="1"/>
  <c r="O24" i="1"/>
  <c r="O23" i="1"/>
  <c r="O22" i="1"/>
  <c r="T22" i="1" s="1"/>
  <c r="O21" i="1"/>
  <c r="O20" i="1"/>
  <c r="T20" i="1" s="1"/>
  <c r="O19" i="1"/>
  <c r="O18" i="1"/>
  <c r="T18" i="1" s="1"/>
  <c r="O16" i="1"/>
  <c r="O15" i="1"/>
  <c r="O14" i="1"/>
  <c r="O13" i="1"/>
  <c r="R42" i="1" l="1"/>
  <c r="S42" i="1" s="1"/>
  <c r="R14" i="1"/>
  <c r="S14" i="1" s="1"/>
  <c r="V14" i="1" s="1"/>
  <c r="L14" i="1"/>
  <c r="L15" i="1"/>
  <c r="R15" i="1"/>
  <c r="S15" i="1" s="1"/>
  <c r="L20" i="1"/>
  <c r="R20" i="1"/>
  <c r="S20" i="1" s="1"/>
  <c r="L29" i="1"/>
  <c r="R29" i="1"/>
  <c r="S29" i="1" s="1"/>
  <c r="R36" i="1"/>
  <c r="S36" i="1" s="1"/>
  <c r="L33" i="1"/>
  <c r="R33" i="1"/>
  <c r="S33" i="1" s="1"/>
  <c r="L18" i="1"/>
  <c r="R18" i="1"/>
  <c r="S18" i="1" s="1"/>
  <c r="L22" i="1"/>
  <c r="R22" i="1"/>
  <c r="S22" i="1" s="1"/>
  <c r="S27" i="1"/>
  <c r="V27" i="1" s="1"/>
  <c r="T13" i="1"/>
  <c r="R13" i="1"/>
  <c r="S13" i="1" s="1"/>
  <c r="L13" i="1"/>
  <c r="S11" i="1"/>
  <c r="T16" i="1"/>
  <c r="R16" i="1"/>
  <c r="S16" i="1" s="1"/>
  <c r="L16" i="1"/>
  <c r="R19" i="1"/>
  <c r="S19" i="1" s="1"/>
  <c r="L19" i="1"/>
  <c r="R21" i="1"/>
  <c r="S21" i="1" s="1"/>
  <c r="L21" i="1"/>
  <c r="T23" i="1"/>
  <c r="R23" i="1"/>
  <c r="S23" i="1" s="1"/>
  <c r="L23" i="1"/>
  <c r="T24" i="1"/>
  <c r="R24" i="1"/>
  <c r="S24" i="1" s="1"/>
  <c r="L24" i="1"/>
  <c r="S26" i="1"/>
  <c r="L26" i="1"/>
  <c r="T28" i="1"/>
  <c r="R28" i="1"/>
  <c r="S28" i="1" s="1"/>
  <c r="T30" i="1"/>
  <c r="R30" i="1"/>
  <c r="S30" i="1" s="1"/>
  <c r="L30" i="1"/>
  <c r="T32" i="1"/>
  <c r="R32" i="1"/>
  <c r="L32" i="1"/>
  <c r="T34" i="1"/>
  <c r="R34" i="1"/>
  <c r="S34" i="1" s="1"/>
  <c r="L34" i="1"/>
  <c r="T35" i="1"/>
  <c r="R35" i="1"/>
  <c r="S35" i="1" s="1"/>
  <c r="L35" i="1"/>
  <c r="T37" i="1"/>
  <c r="R37" i="1"/>
  <c r="S37" i="1" s="1"/>
  <c r="L37" i="1"/>
  <c r="T38" i="1"/>
  <c r="S38" i="1"/>
  <c r="L38" i="1"/>
  <c r="T40" i="1"/>
  <c r="R40" i="1"/>
  <c r="S40" i="1" s="1"/>
  <c r="L40" i="1"/>
  <c r="T41" i="1"/>
  <c r="R41" i="1"/>
  <c r="S41" i="1" s="1"/>
  <c r="L41" i="1"/>
  <c r="U42" i="1" l="1"/>
  <c r="U32" i="1"/>
  <c r="U14" i="1"/>
  <c r="V13" i="1"/>
  <c r="U13" i="1"/>
  <c r="V40" i="1"/>
  <c r="U40" i="1"/>
  <c r="W40" i="1" s="1"/>
  <c r="V34" i="1"/>
  <c r="U34" i="1"/>
  <c r="U33" i="1"/>
  <c r="V33" i="1"/>
  <c r="U29" i="1"/>
  <c r="V29" i="1"/>
  <c r="V24" i="1"/>
  <c r="U24" i="1"/>
  <c r="W24" i="1" s="1"/>
  <c r="V11" i="1"/>
  <c r="V38" i="1"/>
  <c r="U38" i="1"/>
  <c r="V32" i="1"/>
  <c r="V30" i="1"/>
  <c r="U30" i="1"/>
  <c r="U41" i="1"/>
  <c r="V37" i="1"/>
  <c r="U37" i="1"/>
  <c r="U36" i="1"/>
  <c r="V36" i="1"/>
  <c r="V35" i="1"/>
  <c r="U35" i="1"/>
  <c r="V28" i="1"/>
  <c r="U28" i="1"/>
  <c r="W27" i="1" s="1"/>
  <c r="V26" i="1"/>
  <c r="U26" i="1"/>
  <c r="W26" i="1" s="1"/>
  <c r="V23" i="1"/>
  <c r="W23" i="1"/>
  <c r="U22" i="1"/>
  <c r="V22" i="1"/>
  <c r="V21" i="1"/>
  <c r="U21" i="1"/>
  <c r="U20" i="1"/>
  <c r="V20" i="1"/>
  <c r="V19" i="1"/>
  <c r="U19" i="1"/>
  <c r="U18" i="1"/>
  <c r="V18" i="1"/>
  <c r="V16" i="1"/>
  <c r="U16" i="1"/>
  <c r="U15" i="1"/>
  <c r="V15" i="1"/>
  <c r="W31" i="1" l="1"/>
  <c r="W37" i="1"/>
  <c r="W14" i="1"/>
  <c r="W34" i="1"/>
</calcChain>
</file>

<file path=xl/sharedStrings.xml><?xml version="1.0" encoding="utf-8"?>
<sst xmlns="http://schemas.openxmlformats.org/spreadsheetml/2006/main" count="294" uniqueCount="273">
  <si>
    <t>RIEPILOGO PROGETTI E  COSTI  2012/2013</t>
  </si>
  <si>
    <t>PROGETTO</t>
  </si>
  <si>
    <t>REFERENTE</t>
  </si>
  <si>
    <t xml:space="preserve">ESPERTO </t>
  </si>
  <si>
    <t>COSTO</t>
  </si>
  <si>
    <t>COMPENSO LORDO</t>
  </si>
  <si>
    <t xml:space="preserve">costo </t>
  </si>
  <si>
    <t xml:space="preserve">ore </t>
  </si>
  <si>
    <t xml:space="preserve">IMPONIBILE </t>
  </si>
  <si>
    <t>ALIQ.</t>
  </si>
  <si>
    <t>INPS</t>
  </si>
  <si>
    <t>IMPOSTA</t>
  </si>
  <si>
    <t xml:space="preserve">NETTO A </t>
  </si>
  <si>
    <t>IRAP</t>
  </si>
  <si>
    <t>COSTO NETTO ORA</t>
  </si>
  <si>
    <t>COSTO TOTALE PER PLESSO</t>
  </si>
  <si>
    <t xml:space="preserve">TOTALE </t>
  </si>
  <si>
    <t>INFANZIA GRONTARDO</t>
  </si>
  <si>
    <t>“LABORATORIO MUSICALE”</t>
  </si>
  <si>
    <t>FONTANA BARBARA
ROSSETTI
GAIARDI</t>
  </si>
  <si>
    <t>“CORPO INTELLIGENTE”</t>
  </si>
  <si>
    <t>ROSSETTI GRAZIA</t>
  </si>
  <si>
    <t>DANIELA GUARNERI</t>
  </si>
  <si>
    <t>25 EURO NETTE PER 25 ORE
= 625,00 EURO NETTE</t>
  </si>
  <si>
    <t>INFANZIA DI VESCOVATO</t>
  </si>
  <si>
    <t xml:space="preserve">“UN SALTO NEL GIOCO” </t>
  </si>
  <si>
    <t>MASSERONI FABIANA
UVA MARIA STELLA
SANZENI SILVIA</t>
  </si>
  <si>
    <t>“CRESCERE CON LA MUSICA”</t>
  </si>
  <si>
    <t>MASSERONI FABIANA
SANZENI SILVIA
UVA MARIA STELLA</t>
  </si>
  <si>
    <t>“MENTE E CORPO”</t>
  </si>
  <si>
    <t>FERRAZZI CARMEN</t>
  </si>
  <si>
    <t xml:space="preserve">CESARINA ZINETTI </t>
  </si>
  <si>
    <t>25 EURO L/D  PER 20 ORE</t>
  </si>
  <si>
    <t>“NEL CUORE DELLA MUSICA, CON LA MUSICA NEL CUORE”</t>
  </si>
  <si>
    <t>“DO, RE, MI, FA, SOL…MUSICA!</t>
  </si>
  <si>
    <r>
      <t xml:space="preserve">ZERBINI PAOLA
TOMASONI ELENA
MARAZZI MARIANGELA
</t>
    </r>
    <r>
      <rPr>
        <sz val="12"/>
        <color indexed="8"/>
        <rFont val="Times New Roman"/>
        <family val="1"/>
      </rPr>
      <t>MIGLIOLI TIZIANA</t>
    </r>
  </si>
  <si>
    <t>“UN SALTO NEL GIOCO”</t>
  </si>
  <si>
    <t>TOMASONI ELENA
MARAZZI MARIANGELA
MIGLIOLI TIZIANA</t>
  </si>
  <si>
    <t>“ACCOGLIENZA STRANIERI”</t>
  </si>
  <si>
    <t>TUTTI I DOCENTI</t>
  </si>
  <si>
    <t xml:space="preserve">MEDIATRICI </t>
  </si>
  <si>
    <t>25 ORE PER MEDIATRICE N. 2</t>
  </si>
  <si>
    <t>INFANZIA SAN MARINO</t>
  </si>
  <si>
    <r>
      <t>“</t>
    </r>
    <r>
      <rPr>
        <sz val="14"/>
        <color indexed="8"/>
        <rFont val="Arial"/>
        <family val="2"/>
      </rPr>
      <t>CAVALGIOCARE”</t>
    </r>
  </si>
  <si>
    <t>ROSSETTI NICOLETTA</t>
  </si>
  <si>
    <t>ELENA BACCIOCCHI</t>
  </si>
  <si>
    <t>INFANZIA OSTIANO</t>
  </si>
  <si>
    <t>“GIOCARE HA UN SENSO…ANZI 5”</t>
  </si>
  <si>
    <t>BALOTTA GIOVANNA</t>
  </si>
  <si>
    <t xml:space="preserve">INFANZIA PIEVE TERZAGNI  </t>
  </si>
  <si>
    <t>MINERI ESTER</t>
  </si>
  <si>
    <t xml:space="preserve">23 NETTO </t>
  </si>
  <si>
    <t>PRIMARIA DI VESCOVATO</t>
  </si>
  <si>
    <t xml:space="preserve">“CI VORREBBE UN AMICO “ </t>
  </si>
  <si>
    <t>SINISCALCO LOREDANA
SEDANI DEBORA</t>
  </si>
  <si>
    <t xml:space="preserve">MORI LAURA </t>
  </si>
  <si>
    <t xml:space="preserve">250 EUR  ESENTE DA IVA ( AMBULATORIO VETERINARIO) </t>
  </si>
  <si>
    <t>“UNA LINGUA PER SAPERE”</t>
  </si>
  <si>
    <t>BOCCOLI MONICA</t>
  </si>
  <si>
    <t>“ALBERO”</t>
  </si>
  <si>
    <r>
      <t xml:space="preserve">SALANTI DINA
</t>
    </r>
    <r>
      <rPr>
        <sz val="12"/>
        <color indexed="8"/>
        <rFont val="Times New Roman"/>
        <family val="1"/>
      </rPr>
      <t>SAVI GIUDITTA</t>
    </r>
  </si>
  <si>
    <t xml:space="preserve">DA DEFINIRE </t>
  </si>
  <si>
    <t>“A SCUOLA D'ARTISTA: ALLA SCOPERTA DEL MOSAICO”</t>
  </si>
  <si>
    <t>REGONINI ALBERTO
GRITTI KATIA</t>
  </si>
  <si>
    <t xml:space="preserve">MAFFINI </t>
  </si>
  <si>
    <t>“MUSICA E MUSICA”</t>
  </si>
  <si>
    <t>GRITTI KATIA</t>
  </si>
  <si>
    <t>ZaNETTI FRANCESCO</t>
  </si>
  <si>
    <t>PRIMARIA DI OSTIANO</t>
  </si>
  <si>
    <t>“CREATIVITÀ AL LAVORO 2”</t>
  </si>
  <si>
    <t>SPINA  FAUSTO</t>
  </si>
  <si>
    <t>MAFFINI ALFONSO</t>
  </si>
  <si>
    <t>“UN TUFFO NELLA MUSICA”</t>
  </si>
  <si>
    <t>BARBIERI ILEANA
CAMERINI RITA</t>
  </si>
  <si>
    <t>CONZADORI DANIELA</t>
  </si>
  <si>
    <t>25 EURO LORDE PER 40 ORE
= 1.000,00 EURO
+ 250,00 EURO DI MATERIALE DI FACILE CONSUMO</t>
  </si>
  <si>
    <t>“MEDIAZIONE CULTURALE”</t>
  </si>
  <si>
    <t>BODINI ROSELLA
CASERINI RITA</t>
  </si>
  <si>
    <t>GREWAL BALJINDER</t>
  </si>
  <si>
    <t>PRIMARIA DI CA DE MARI</t>
  </si>
  <si>
    <t>“AMICI PER LA MUSICA” da ottobre a giugno</t>
  </si>
  <si>
    <t>MAZZEI WALTER
GALETTI ELENA</t>
  </si>
  <si>
    <t>25 EURO LORDE PER 52 ORE
= 1 300,00 EURO</t>
  </si>
  <si>
    <r>
      <t>“</t>
    </r>
    <r>
      <rPr>
        <sz val="14"/>
        <color indexed="8"/>
        <rFont val="Arial"/>
        <family val="2"/>
      </rPr>
      <t>GIOCOEDANZO”</t>
    </r>
  </si>
  <si>
    <t>MAZZEI WALTER
FRANZONI CARLA
CARPEGGIANI CRISTINA</t>
  </si>
  <si>
    <t>MARINA OLIVIERI</t>
  </si>
  <si>
    <t>25 EURO LORDI PER 60 ORE
= 1 600,00 EURO</t>
  </si>
  <si>
    <t>PRIMARIA DI GRONTARDO</t>
  </si>
  <si>
    <t>“ACCORDI IN ARTE”</t>
  </si>
  <si>
    <t>BIANCHI LIDIA</t>
  </si>
  <si>
    <t xml:space="preserve">      PROGETTO FUMETTO</t>
  </si>
  <si>
    <t>CENTRO FUMETTO A. PAZIENZA DI CREMONA</t>
  </si>
  <si>
    <t>INTERVENTO ESPERTO ESTERNO, N° 5 INCONTRI DI 2 ORE CIASCUNO</t>
  </si>
  <si>
    <t>RICUCCI</t>
  </si>
  <si>
    <t>MANFREDINI</t>
  </si>
  <si>
    <t>CIG</t>
  </si>
  <si>
    <t>IMPEGNO</t>
  </si>
  <si>
    <t xml:space="preserve">MANDATO </t>
  </si>
  <si>
    <t>DA</t>
  </si>
  <si>
    <t>A</t>
  </si>
  <si>
    <t xml:space="preserve">NICOLA BERGAMASCHI </t>
  </si>
  <si>
    <t>ASSISTENZA TECNICA</t>
  </si>
  <si>
    <r>
      <t xml:space="preserve">
MADRELINGUA INGLESE
</t>
    </r>
    <r>
      <rPr>
        <b/>
        <i/>
        <sz val="12"/>
        <color indexed="8"/>
        <rFont val="Arial"/>
        <family val="2"/>
      </rPr>
      <t/>
    </r>
  </si>
  <si>
    <r>
      <t xml:space="preserve">
UNA FESTA RINASCIMENTALE
</t>
    </r>
    <r>
      <rPr>
        <b/>
        <i/>
        <sz val="12"/>
        <color indexed="8"/>
        <rFont val="Arial"/>
        <family val="2"/>
      </rPr>
      <t/>
    </r>
  </si>
  <si>
    <t>ZB80691B93</t>
  </si>
  <si>
    <t>ZA20691B87</t>
  </si>
  <si>
    <t>ZD80691C5B</t>
  </si>
  <si>
    <t>ZAD0691D83</t>
  </si>
  <si>
    <t>Z3F0691E42</t>
  </si>
  <si>
    <t>ZE206922F9</t>
  </si>
  <si>
    <t>Z110692382</t>
  </si>
  <si>
    <t>ZB10692479</t>
  </si>
  <si>
    <t>Z1206924C2</t>
  </si>
  <si>
    <t>ZDC0692547</t>
  </si>
  <si>
    <t>Z6906925A8</t>
  </si>
  <si>
    <t>ZDF0692907</t>
  </si>
  <si>
    <t>Z6C0692A63</t>
  </si>
  <si>
    <t>Z670692B00</t>
  </si>
  <si>
    <t>ZBC0692B5C</t>
  </si>
  <si>
    <t>ZDE0692BB3</t>
  </si>
  <si>
    <t>Z5D0692C3A</t>
  </si>
  <si>
    <t>Z990692CB6</t>
  </si>
  <si>
    <t>Z340692CF1</t>
  </si>
  <si>
    <t>Z9F0692D59</t>
  </si>
  <si>
    <t>Z350692E31</t>
  </si>
  <si>
    <t>Z0E069277</t>
  </si>
  <si>
    <t>Z9A0692EF1</t>
  </si>
  <si>
    <t>ZB80692F2F</t>
  </si>
  <si>
    <t>ZB40693011</t>
  </si>
  <si>
    <t>Z3706930B1</t>
  </si>
  <si>
    <t>ZINETTI CESARINA</t>
  </si>
  <si>
    <t xml:space="preserve">25 all ora </t>
  </si>
  <si>
    <t>coop sentieroLORELLA PENNA</t>
  </si>
  <si>
    <t>A LEZIONE CON FIDO</t>
  </si>
  <si>
    <t>ASSOCIAZIONE</t>
  </si>
  <si>
    <t>ricevuta fiscale</t>
  </si>
  <si>
    <t xml:space="preserve">25 EURO NETTE ALL’ORA PER 10 ORE                    
= 250 EURO </t>
  </si>
  <si>
    <t>no</t>
  </si>
  <si>
    <t>3 anni</t>
  </si>
  <si>
    <t>5 anni</t>
  </si>
  <si>
    <t>ZCD0741756</t>
  </si>
  <si>
    <t xml:space="preserve">emette fattura </t>
  </si>
  <si>
    <t>INTERVENTO ESPERTA ESTERNA SHIRLEY NORTHRIDGE, INTERVENTO DI 1 ORA SULLE CLASSI TERZE</t>
  </si>
  <si>
    <t>"ARTE  IN  FESTA"</t>
  </si>
  <si>
    <t>CARMELA DAINA</t>
  </si>
  <si>
    <t>ROBERTA  RAIMONDI</t>
  </si>
  <si>
    <t xml:space="preserve"> 25.00   EURO ALL'ORA PER 6 ORE</t>
  </si>
  <si>
    <t>i. n. 485 486 487</t>
  </si>
  <si>
    <t xml:space="preserve"> ELENA BIAZZI</t>
  </si>
  <si>
    <t>i. n. 556, 557, 558</t>
  </si>
  <si>
    <t xml:space="preserve">i. 542 </t>
  </si>
  <si>
    <t>i. 497</t>
  </si>
  <si>
    <t>i. n. 498</t>
  </si>
  <si>
    <t>i. 543 544 545 546</t>
  </si>
  <si>
    <t>i. 582 583 584</t>
  </si>
  <si>
    <t>i. n. 576 577 578</t>
  </si>
  <si>
    <t>i. 570 571 572</t>
  </si>
  <si>
    <t>i. 473 483 484</t>
  </si>
  <si>
    <t>i. 488 489 490</t>
  </si>
  <si>
    <t>573 574 575</t>
  </si>
  <si>
    <t>553,554,555</t>
  </si>
  <si>
    <t>565 566 567</t>
  </si>
  <si>
    <t>652 653 654</t>
  </si>
  <si>
    <t>MEDIAZIONE CULTURALE</t>
  </si>
  <si>
    <t>WU  XIAO  FENG</t>
  </si>
  <si>
    <t>PRIMARIA DI PESCAROLO</t>
  </si>
  <si>
    <t>25 EURO LORDE PER 10 ORE</t>
  </si>
  <si>
    <t>Z4A07F8FD4</t>
  </si>
  <si>
    <t>SPORTELLO PSICOLOGICO</t>
  </si>
  <si>
    <t>BALDRICCHI ANTONELLA</t>
  </si>
  <si>
    <t>PEDRONI  BENEDETTA</t>
  </si>
  <si>
    <t>BARBIERI  MICHELA</t>
  </si>
  <si>
    <t>BELLINI PAOLA</t>
  </si>
  <si>
    <t>INCARICHI INTERNI</t>
  </si>
  <si>
    <t>COOP SENTIERO _LEPIANI</t>
  </si>
  <si>
    <t xml:space="preserve">i 559 </t>
  </si>
  <si>
    <t xml:space="preserve">I. 562 </t>
  </si>
  <si>
    <t xml:space="preserve">I. N. 547 </t>
  </si>
  <si>
    <t>CONCLUSO AL 30 NOV 2012</t>
  </si>
  <si>
    <r>
      <t xml:space="preserve">25 EURO NETTE ALL’ORA PER 30 ORE
</t>
    </r>
    <r>
      <rPr>
        <sz val="11"/>
        <color indexed="8"/>
        <rFont val="Arial"/>
        <family val="2"/>
      </rPr>
      <t>= 750,00 EURO NETTE</t>
    </r>
  </si>
  <si>
    <r>
      <t xml:space="preserve">25 EURO ALL’ORA PER 20 LEZIONI 
</t>
    </r>
    <r>
      <rPr>
        <b/>
        <sz val="11"/>
        <color indexed="8"/>
        <rFont val="Times New Roman"/>
        <family val="1"/>
      </rPr>
      <t>= 500,00 EURO</t>
    </r>
  </si>
  <si>
    <r>
      <t xml:space="preserve">25 EURO ALL’ORA PER 20 LEZIONI + IVA
</t>
    </r>
    <r>
      <rPr>
        <sz val="11"/>
        <color indexed="8"/>
        <rFont val="Arial"/>
        <family val="2"/>
      </rPr>
      <t>= 500,00 EURO + IVA</t>
    </r>
  </si>
  <si>
    <r>
      <t xml:space="preserve">25 EURO + IVA ALL’ORA PER 10 ORE
</t>
    </r>
    <r>
      <rPr>
        <sz val="11"/>
        <color indexed="8"/>
        <rFont val="Arial"/>
        <family val="2"/>
      </rPr>
      <t>=250,00 EURO + IVA</t>
    </r>
  </si>
  <si>
    <r>
      <t xml:space="preserve">25 EURO ALL’ORA PER 21 ORE + IVA
</t>
    </r>
    <r>
      <rPr>
        <sz val="11"/>
        <color indexed="8"/>
        <rFont val="Arial"/>
        <family val="2"/>
      </rPr>
      <t>= 483,00 EURO + IVA</t>
    </r>
  </si>
  <si>
    <r>
      <t xml:space="preserve">24,50 EURO LORDE PER 60 ORE                                    
</t>
    </r>
    <r>
      <rPr>
        <b/>
        <sz val="11"/>
        <color indexed="8"/>
        <rFont val="Times New Roman"/>
        <family val="1"/>
      </rPr>
      <t>= 1.470,00 EURO</t>
    </r>
  </si>
  <si>
    <r>
      <t xml:space="preserve">25 EURO ALL’ORA PER 20 ORE???
</t>
    </r>
    <r>
      <rPr>
        <sz val="11"/>
        <color indexed="8"/>
        <rFont val="Arial"/>
        <family val="2"/>
      </rPr>
      <t>= 500,00 EURO</t>
    </r>
  </si>
  <si>
    <r>
      <t xml:space="preserve">35 EURO LORDO DIPENDENTE  PER 10 ORE
</t>
    </r>
    <r>
      <rPr>
        <sz val="11"/>
        <color indexed="8"/>
        <rFont val="Arial"/>
        <family val="2"/>
      </rPr>
      <t>= 350 EURO LORDE</t>
    </r>
  </si>
  <si>
    <r>
      <t xml:space="preserve">2 000.00 EURO DA DEFINIRE
</t>
    </r>
    <r>
      <rPr>
        <sz val="11"/>
        <color indexed="8"/>
        <rFont val="Arial"/>
        <family val="2"/>
      </rPr>
      <t>+
3 ORE PER 12 DOCENTI
10 ORE PER 2 DOCENTI
+
3 ORE PER 2 COLLABORATORI</t>
    </r>
  </si>
  <si>
    <r>
      <t xml:space="preserve">25 EURO </t>
    </r>
    <r>
      <rPr>
        <sz val="11"/>
        <color indexed="8"/>
        <rFont val="Times New Roman"/>
        <family val="1"/>
      </rPr>
      <t xml:space="preserve"> + IRAP= </t>
    </r>
  </si>
  <si>
    <r>
      <t xml:space="preserve">25 EURO LORDE PER 70 ORE
</t>
    </r>
    <r>
      <rPr>
        <i/>
        <sz val="11"/>
        <color indexed="8"/>
        <rFont val="Times New Roman"/>
        <family val="1"/>
      </rPr>
      <t xml:space="preserve"> = </t>
    </r>
    <r>
      <rPr>
        <b/>
        <sz val="11"/>
        <color indexed="8"/>
        <rFont val="Times New Roman"/>
        <family val="1"/>
      </rPr>
      <t>1.750,00 LORDE + 250,00 EURO DI MATERIALE DI FACILE CONSUMO</t>
    </r>
  </si>
  <si>
    <r>
      <t xml:space="preserve"> </t>
    </r>
    <r>
      <rPr>
        <sz val="11"/>
        <color indexed="8"/>
        <rFont val="Arial"/>
        <family val="2"/>
      </rPr>
      <t>25 EURO LORDI PER 44 ORE
= 1 100,00 EURO</t>
    </r>
  </si>
  <si>
    <r>
      <t xml:space="preserve">21 H X € 32 LORDO/DIP A MADRELINGUA INGLESE
</t>
    </r>
    <r>
      <rPr>
        <i/>
        <sz val="11"/>
        <color indexed="8"/>
        <rFont val="Times New Roman"/>
        <family val="1"/>
      </rPr>
      <t xml:space="preserve"> </t>
    </r>
    <r>
      <rPr>
        <sz val="11"/>
        <color indexed="8"/>
        <rFont val="Times New Roman"/>
        <family val="1"/>
      </rPr>
      <t xml:space="preserve">= € 672 LODO/DIP
</t>
    </r>
    <r>
      <rPr>
        <i/>
        <sz val="11"/>
        <color indexed="8"/>
        <rFont val="Arial"/>
        <family val="2"/>
      </rPr>
      <t xml:space="preserve">TOTALE=(+ IRAP)
  € </t>
    </r>
    <r>
      <rPr>
        <b/>
        <sz val="11"/>
        <color indexed="8"/>
        <rFont val="Arial"/>
        <family val="2"/>
      </rPr>
      <t>729,12 LORDO STATO</t>
    </r>
  </si>
  <si>
    <r>
      <t xml:space="preserve">15 ORE DI ESPERTO = </t>
    </r>
    <r>
      <rPr>
        <b/>
        <sz val="11"/>
        <color indexed="8"/>
        <rFont val="Arial"/>
        <family val="2"/>
      </rPr>
      <t>€ 406,88 LORDO STATO</t>
    </r>
  </si>
  <si>
    <t>PROGETTI DI PLESSO</t>
  </si>
  <si>
    <t>SECONDARIA VESCOVATO</t>
  </si>
  <si>
    <t xml:space="preserve">PROF FACCINI FABIO </t>
  </si>
  <si>
    <t>Z290855B35</t>
  </si>
  <si>
    <r>
      <t xml:space="preserve">       </t>
    </r>
    <r>
      <rPr>
        <i/>
        <sz val="16"/>
        <rFont val="Arial"/>
        <family val="2"/>
      </rPr>
      <t>progetto parte in primavera</t>
    </r>
  </si>
  <si>
    <t>FEDERICI (LEVATA)</t>
  </si>
  <si>
    <t xml:space="preserve">  600,00 + Iva+ 100=   847,00 </t>
  </si>
  <si>
    <t>CRESCIAMO INSIEME CON LO YOGA</t>
  </si>
  <si>
    <t>Tutti i Docenti</t>
  </si>
  <si>
    <t>Z35074EF40</t>
  </si>
  <si>
    <r>
      <t xml:space="preserve">40 ORE PER CIFRA CONCORDATA A LIVELLO DI ISTITUTO
</t>
    </r>
    <r>
      <rPr>
        <i/>
        <sz val="12"/>
        <color indexed="8"/>
        <rFont val="Arial"/>
        <family val="2"/>
      </rPr>
      <t/>
    </r>
  </si>
  <si>
    <t>ZE509E8F5C</t>
  </si>
  <si>
    <t xml:space="preserve">annullare </t>
  </si>
  <si>
    <t>annullato contratto Biazzi</t>
  </si>
  <si>
    <t>Z870A21C69</t>
  </si>
  <si>
    <t>N. 61</t>
  </si>
  <si>
    <t>N. 62</t>
  </si>
  <si>
    <t>N. 63</t>
  </si>
  <si>
    <t>N. 64</t>
  </si>
  <si>
    <t>secondaria levata</t>
  </si>
  <si>
    <t>N. 65</t>
  </si>
  <si>
    <t>.01/2013</t>
  </si>
  <si>
    <t>i. 550,551,552</t>
  </si>
  <si>
    <t>N. 66</t>
  </si>
  <si>
    <t xml:space="preserve">NO </t>
  </si>
  <si>
    <t>NO</t>
  </si>
  <si>
    <t>n. 72</t>
  </si>
  <si>
    <t>n. 73</t>
  </si>
  <si>
    <t>n. 74</t>
  </si>
  <si>
    <t>n. 75</t>
  </si>
  <si>
    <t>n. 76</t>
  </si>
  <si>
    <t>n. 77</t>
  </si>
  <si>
    <t>n. 78</t>
  </si>
  <si>
    <t>n. 80</t>
  </si>
  <si>
    <t>n. 83</t>
  </si>
  <si>
    <t>n. 82</t>
  </si>
  <si>
    <t>n. 81</t>
  </si>
  <si>
    <t>regime ei minimi</t>
  </si>
  <si>
    <t>1,81 bollo</t>
  </si>
  <si>
    <t>n. 84, 85</t>
  </si>
  <si>
    <t>BARONIO ROBERTA</t>
  </si>
  <si>
    <t>n. 70</t>
  </si>
  <si>
    <t>n. 86 + 87</t>
  </si>
  <si>
    <t>n. 79 - 134</t>
  </si>
  <si>
    <t>N. 68</t>
  </si>
  <si>
    <t>N. 133</t>
  </si>
  <si>
    <t>N. 128</t>
  </si>
  <si>
    <t>N. 118</t>
  </si>
  <si>
    <t>P4</t>
  </si>
  <si>
    <t>N. 119</t>
  </si>
  <si>
    <t>N. 120</t>
  </si>
  <si>
    <t>IVA</t>
  </si>
  <si>
    <t>N. 88</t>
  </si>
  <si>
    <t>RES 592</t>
  </si>
  <si>
    <t xml:space="preserve">GUARNIERI ROBERTO </t>
  </si>
  <si>
    <t>MORENA</t>
  </si>
  <si>
    <t xml:space="preserve">VENTURINI </t>
  </si>
  <si>
    <t>RICEVUTA CON IVA  QUINDI SENZA IRAP</t>
  </si>
  <si>
    <t>REGIME DEI MINIMI QUINDI SENZA IRPEF E IRP</t>
  </si>
  <si>
    <t>REGIME DEI MINIMI QUINDI SENZA IRPEF E IRP CON CASSA</t>
  </si>
  <si>
    <t>FATTURA CON IVA  QUINDI SENZA IRAP con r.a.</t>
  </si>
  <si>
    <t>2% di enpap</t>
  </si>
  <si>
    <t>+iva21</t>
  </si>
  <si>
    <t>tot</t>
  </si>
  <si>
    <t>PASCUCCI ROBERTO- REGIME MINIMI</t>
  </si>
  <si>
    <t xml:space="preserve">PROGETTO ALBERO </t>
  </si>
  <si>
    <t xml:space="preserve">BERNARDI </t>
  </si>
  <si>
    <t xml:space="preserve">REGIME DEI MINIMI </t>
  </si>
  <si>
    <t xml:space="preserve">FUNZIONI MISTE </t>
  </si>
  <si>
    <t xml:space="preserve">CONCORSO ARISI </t>
  </si>
  <si>
    <t xml:space="preserve">incassati </t>
  </si>
  <si>
    <t>vescovato</t>
  </si>
  <si>
    <t>gadesco</t>
  </si>
  <si>
    <t>ostiano</t>
  </si>
  <si>
    <t>grontardo</t>
  </si>
  <si>
    <t>pescarolo</t>
  </si>
  <si>
    <t>persico</t>
  </si>
  <si>
    <t>gabbioneta</t>
  </si>
  <si>
    <t>accertato</t>
  </si>
  <si>
    <t xml:space="preserve">differenza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</si>
</sst>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 &quot;#,##0.00"/>
  </numFmts>
  <fonts count="76" x14ac:knownFonts="1"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i/>
      <sz val="12"/>
      <color indexed="8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20"/>
      <color indexed="17"/>
      <name val="Arial"/>
      <family val="2"/>
    </font>
    <font>
      <sz val="16"/>
      <color indexed="8"/>
      <name val="Arial"/>
      <family val="2"/>
    </font>
    <font>
      <b/>
      <sz val="22"/>
      <color indexed="8"/>
      <name val="Arial"/>
      <family val="2"/>
    </font>
    <font>
      <i/>
      <sz val="12"/>
      <color indexed="8"/>
      <name val="Arial"/>
      <family val="2"/>
    </font>
    <font>
      <i/>
      <sz val="10"/>
      <color indexed="8"/>
      <name val="Arial"/>
      <family val="2"/>
    </font>
    <font>
      <sz val="12"/>
      <color indexed="8"/>
      <name val="Times New Roman"/>
      <family val="1"/>
    </font>
    <font>
      <sz val="20"/>
      <color indexed="8"/>
      <name val="Arial"/>
      <family val="2"/>
    </font>
    <font>
      <b/>
      <i/>
      <sz val="20"/>
      <color indexed="8"/>
      <name val="Arial"/>
      <family val="2"/>
    </font>
    <font>
      <sz val="20"/>
      <color theme="1"/>
      <name val="Calibri"/>
      <family val="2"/>
      <scheme val="minor"/>
    </font>
    <font>
      <b/>
      <sz val="20"/>
      <color rgb="FFFF0000"/>
      <name val="Arial"/>
      <family val="2"/>
    </font>
    <font>
      <sz val="20"/>
      <color rgb="FFFF0000"/>
      <name val="Arial"/>
      <family val="2"/>
    </font>
    <font>
      <b/>
      <sz val="20"/>
      <color theme="1"/>
      <name val="Calibri"/>
      <family val="2"/>
      <scheme val="minor"/>
    </font>
    <font>
      <sz val="18"/>
      <color indexed="8"/>
      <name val="Times New Roman"/>
      <family val="1"/>
    </font>
    <font>
      <sz val="20"/>
      <color indexed="8"/>
      <name val="Times New Roman"/>
      <family val="1"/>
    </font>
    <font>
      <sz val="22"/>
      <color indexed="8"/>
      <name val="Times New Roman"/>
      <family val="1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indexed="8"/>
      <name val="Arial"/>
      <family val="2"/>
    </font>
    <font>
      <i/>
      <sz val="20"/>
      <color indexed="8"/>
      <name val="Arial"/>
      <family val="2"/>
    </font>
    <font>
      <b/>
      <i/>
      <sz val="22"/>
      <color indexed="8"/>
      <name val="Arial"/>
      <family val="2"/>
    </font>
    <font>
      <b/>
      <sz val="20"/>
      <color indexed="8"/>
      <name val="Arial"/>
      <family val="2"/>
    </font>
    <font>
      <sz val="18"/>
      <color indexed="8"/>
      <name val="Arial"/>
      <family val="2"/>
    </font>
    <font>
      <i/>
      <sz val="18"/>
      <color indexed="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rgb="FFFF0000"/>
      <name val="Arial"/>
      <family val="2"/>
    </font>
    <font>
      <sz val="12"/>
      <color rgb="FFFF0000"/>
      <name val="Arial"/>
      <family val="2"/>
    </font>
    <font>
      <i/>
      <sz val="10"/>
      <color rgb="FFFF0000"/>
      <name val="Arial"/>
      <family val="2"/>
    </font>
    <font>
      <sz val="20"/>
      <color rgb="FFFFC000"/>
      <name val="Times New Roman"/>
      <family val="1"/>
    </font>
    <font>
      <sz val="10"/>
      <color rgb="FFFF0000"/>
      <name val="Arial"/>
      <family val="2"/>
    </font>
    <font>
      <i/>
      <sz val="24"/>
      <color indexed="8"/>
      <name val="Arial"/>
      <family val="2"/>
    </font>
    <font>
      <sz val="18"/>
      <name val="Arial"/>
      <family val="2"/>
    </font>
    <font>
      <sz val="22"/>
      <color theme="1"/>
      <name val="Times New Roman"/>
      <family val="1"/>
    </font>
    <font>
      <sz val="16"/>
      <color rgb="FFFF0000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i/>
      <sz val="16"/>
      <name val="Arial"/>
      <family val="2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Times New Roman"/>
      <family val="1"/>
    </font>
    <font>
      <i/>
      <sz val="11"/>
      <color indexed="8"/>
      <name val="Arial"/>
      <family val="2"/>
    </font>
    <font>
      <i/>
      <sz val="11"/>
      <color indexed="8"/>
      <name val="Times New Roman"/>
      <family val="1"/>
    </font>
    <font>
      <b/>
      <sz val="11"/>
      <color indexed="8"/>
      <name val="Arial"/>
      <family val="2"/>
    </font>
    <font>
      <b/>
      <sz val="22"/>
      <color indexed="8"/>
      <name val="Cambria"/>
      <family val="1"/>
      <scheme val="major"/>
    </font>
    <font>
      <b/>
      <sz val="22"/>
      <name val="Cambria"/>
      <family val="1"/>
      <scheme val="major"/>
    </font>
    <font>
      <sz val="22"/>
      <color theme="6"/>
      <name val="Calibri"/>
      <family val="2"/>
      <scheme val="minor"/>
    </font>
    <font>
      <b/>
      <i/>
      <sz val="18"/>
      <color indexed="8"/>
      <name val="Arial"/>
      <family val="2"/>
    </font>
    <font>
      <i/>
      <sz val="14"/>
      <color indexed="8"/>
      <name val="Arial"/>
      <family val="2"/>
    </font>
    <font>
      <sz val="20"/>
      <color theme="1"/>
      <name val="Times New Roman"/>
      <family val="1"/>
    </font>
    <font>
      <b/>
      <sz val="22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name val="Calibri"/>
      <family val="2"/>
      <scheme val="minor"/>
    </font>
    <font>
      <sz val="22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1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8" tint="0.79998168889431442"/>
        <bgColor indexed="22"/>
      </patternFill>
    </fill>
    <fill>
      <patternFill patternType="solid">
        <fgColor theme="8" tint="0.79998168889431442"/>
        <bgColor indexed="42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indexed="51"/>
      </patternFill>
    </fill>
    <fill>
      <patternFill patternType="solid">
        <fgColor theme="7" tint="0.59996337778862885"/>
        <bgColor indexed="26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6337778862885"/>
        <bgColor indexed="51"/>
      </patternFill>
    </fill>
    <fill>
      <patternFill patternType="solid">
        <fgColor rgb="FFFF0000"/>
        <bgColor indexed="42"/>
      </patternFill>
    </fill>
    <fill>
      <patternFill patternType="solid">
        <fgColor rgb="FFFF0000"/>
        <bgColor indexed="9"/>
      </patternFill>
    </fill>
    <fill>
      <patternFill patternType="solid">
        <fgColor rgb="FFFF0000"/>
        <bgColor indexed="51"/>
      </patternFill>
    </fill>
    <fill>
      <patternFill patternType="solid">
        <fgColor rgb="FFFFC000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26"/>
      </patternFill>
    </fill>
    <fill>
      <patternFill patternType="solid">
        <fgColor rgb="FFFF0000"/>
        <bgColor indexed="22"/>
      </patternFill>
    </fill>
    <fill>
      <patternFill patternType="solid">
        <fgColor rgb="FFFFFF00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42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42"/>
      </patternFill>
    </fill>
    <fill>
      <patternFill patternType="solid">
        <fgColor rgb="FF92D050"/>
        <bgColor indexed="51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22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0" fillId="0" borderId="0" xfId="0" applyNumberFormat="1"/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" fontId="11" fillId="3" borderId="7" xfId="0" applyNumberFormat="1" applyFont="1" applyFill="1" applyBorder="1" applyAlignment="1">
      <alignment horizontal="center"/>
    </xf>
    <xf numFmtId="0" fontId="12" fillId="0" borderId="0" xfId="0" applyNumberFormat="1" applyFont="1"/>
    <xf numFmtId="164" fontId="13" fillId="0" borderId="0" xfId="0" applyNumberFormat="1" applyFont="1"/>
    <xf numFmtId="0" fontId="12" fillId="0" borderId="0" xfId="0" applyFont="1"/>
    <xf numFmtId="0" fontId="4" fillId="4" borderId="8" xfId="0" applyFont="1" applyFill="1" applyBorder="1" applyAlignment="1">
      <alignment horizontal="center" wrapText="1"/>
    </xf>
    <xf numFmtId="4" fontId="11" fillId="4" borderId="7" xfId="0" applyNumberFormat="1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4" fillId="5" borderId="8" xfId="0" applyFont="1" applyFill="1" applyBorder="1" applyAlignment="1">
      <alignment horizontal="center"/>
    </xf>
    <xf numFmtId="4" fontId="11" fillId="5" borderId="7" xfId="0" applyNumberFormat="1" applyFont="1" applyFill="1" applyBorder="1" applyAlignment="1">
      <alignment horizontal="center"/>
    </xf>
    <xf numFmtId="0" fontId="15" fillId="6" borderId="8" xfId="0" applyFont="1" applyFill="1" applyBorder="1" applyAlignment="1">
      <alignment horizontal="center"/>
    </xf>
    <xf numFmtId="4" fontId="11" fillId="6" borderId="7" xfId="0" applyNumberFormat="1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wrapText="1"/>
    </xf>
    <xf numFmtId="4" fontId="11" fillId="2" borderId="7" xfId="0" applyNumberFormat="1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wrapText="1"/>
    </xf>
    <xf numFmtId="4" fontId="11" fillId="3" borderId="12" xfId="0" applyNumberFormat="1" applyFont="1" applyFill="1" applyBorder="1" applyAlignment="1">
      <alignment horizontal="center"/>
    </xf>
    <xf numFmtId="4" fontId="11" fillId="4" borderId="12" xfId="0" applyNumberFormat="1" applyFont="1" applyFill="1" applyBorder="1" applyAlignment="1">
      <alignment horizontal="center"/>
    </xf>
    <xf numFmtId="4" fontId="11" fillId="5" borderId="12" xfId="0" applyNumberFormat="1" applyFont="1" applyFill="1" applyBorder="1" applyAlignment="1">
      <alignment horizontal="center"/>
    </xf>
    <xf numFmtId="4" fontId="11" fillId="6" borderId="12" xfId="0" applyNumberFormat="1" applyFont="1" applyFill="1" applyBorder="1" applyAlignment="1">
      <alignment horizontal="center"/>
    </xf>
    <xf numFmtId="4" fontId="11" fillId="2" borderId="12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0" fillId="2" borderId="11" xfId="0" applyFont="1" applyFill="1" applyBorder="1" applyAlignment="1">
      <alignment horizontal="center" wrapText="1"/>
    </xf>
    <xf numFmtId="4" fontId="21" fillId="0" borderId="11" xfId="0" applyNumberFormat="1" applyFont="1" applyBorder="1" applyAlignment="1">
      <alignment horizontal="center"/>
    </xf>
    <xf numFmtId="0" fontId="2" fillId="3" borderId="8" xfId="0" applyFont="1" applyFill="1" applyBorder="1" applyAlignment="1">
      <alignment horizontal="justify"/>
    </xf>
    <xf numFmtId="0" fontId="2" fillId="4" borderId="8" xfId="0" applyFont="1" applyFill="1" applyBorder="1" applyAlignment="1">
      <alignment horizontal="justify"/>
    </xf>
    <xf numFmtId="0" fontId="2" fillId="5" borderId="8" xfId="0" applyFont="1" applyFill="1" applyBorder="1" applyAlignment="1">
      <alignment horizontal="justify"/>
    </xf>
    <xf numFmtId="0" fontId="2" fillId="6" borderId="8" xfId="0" applyFont="1" applyFill="1" applyBorder="1" applyAlignment="1">
      <alignment horizontal="justify"/>
    </xf>
    <xf numFmtId="0" fontId="2" fillId="2" borderId="8" xfId="0" applyFont="1" applyFill="1" applyBorder="1" applyAlignment="1">
      <alignment horizontal="justify"/>
    </xf>
    <xf numFmtId="0" fontId="10" fillId="3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justify"/>
    </xf>
    <xf numFmtId="0" fontId="3" fillId="4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justify" wrapText="1"/>
    </xf>
    <xf numFmtId="0" fontId="3" fillId="5" borderId="10" xfId="0" applyFont="1" applyFill="1" applyBorder="1" applyAlignment="1">
      <alignment horizontal="center"/>
    </xf>
    <xf numFmtId="4" fontId="11" fillId="2" borderId="13" xfId="0" applyNumberFormat="1" applyFont="1" applyFill="1" applyBorder="1"/>
    <xf numFmtId="0" fontId="25" fillId="4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7" fillId="4" borderId="11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32" fillId="4" borderId="13" xfId="0" applyFont="1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33" fillId="3" borderId="13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9" fontId="11" fillId="3" borderId="7" xfId="0" applyNumberFormat="1" applyFont="1" applyFill="1" applyBorder="1" applyAlignment="1">
      <alignment horizontal="center"/>
    </xf>
    <xf numFmtId="4" fontId="11" fillId="3" borderId="14" xfId="0" applyNumberFormat="1" applyFont="1" applyFill="1" applyBorder="1" applyAlignment="1">
      <alignment horizontal="center"/>
    </xf>
    <xf numFmtId="9" fontId="11" fillId="4" borderId="7" xfId="0" applyNumberFormat="1" applyFont="1" applyFill="1" applyBorder="1" applyAlignment="1">
      <alignment horizontal="center"/>
    </xf>
    <xf numFmtId="4" fontId="11" fillId="4" borderId="14" xfId="0" applyNumberFormat="1" applyFont="1" applyFill="1" applyBorder="1" applyAlignment="1">
      <alignment horizontal="center"/>
    </xf>
    <xf numFmtId="9" fontId="11" fillId="5" borderId="7" xfId="0" applyNumberFormat="1" applyFont="1" applyFill="1" applyBorder="1" applyAlignment="1">
      <alignment horizontal="center"/>
    </xf>
    <xf numFmtId="4" fontId="11" fillId="5" borderId="14" xfId="0" applyNumberFormat="1" applyFont="1" applyFill="1" applyBorder="1" applyAlignment="1">
      <alignment horizontal="center"/>
    </xf>
    <xf numFmtId="9" fontId="11" fillId="6" borderId="7" xfId="0" applyNumberFormat="1" applyFont="1" applyFill="1" applyBorder="1" applyAlignment="1">
      <alignment horizontal="center"/>
    </xf>
    <xf numFmtId="4" fontId="11" fillId="6" borderId="14" xfId="0" applyNumberFormat="1" applyFont="1" applyFill="1" applyBorder="1" applyAlignment="1">
      <alignment horizontal="center"/>
    </xf>
    <xf numFmtId="9" fontId="11" fillId="2" borderId="7" xfId="0" applyNumberFormat="1" applyFont="1" applyFill="1" applyBorder="1" applyAlignment="1">
      <alignment horizontal="center"/>
    </xf>
    <xf numFmtId="4" fontId="11" fillId="2" borderId="14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19" fillId="0" borderId="0" xfId="0" applyNumberFormat="1" applyFont="1" applyAlignment="1">
      <alignment horizontal="center" vertical="center" wrapText="1"/>
    </xf>
    <xf numFmtId="2" fontId="35" fillId="0" borderId="6" xfId="0" applyNumberFormat="1" applyFont="1" applyBorder="1" applyAlignment="1">
      <alignment horizontal="center"/>
    </xf>
    <xf numFmtId="2" fontId="35" fillId="0" borderId="7" xfId="0" applyNumberFormat="1" applyFont="1" applyBorder="1" applyAlignment="1">
      <alignment horizontal="center"/>
    </xf>
    <xf numFmtId="0" fontId="2" fillId="7" borderId="8" xfId="0" applyFont="1" applyFill="1" applyBorder="1" applyAlignment="1">
      <alignment horizontal="justify"/>
    </xf>
    <xf numFmtId="0" fontId="6" fillId="7" borderId="8" xfId="0" applyFont="1" applyFill="1" applyBorder="1" applyAlignment="1">
      <alignment horizontal="center" wrapText="1"/>
    </xf>
    <xf numFmtId="0" fontId="4" fillId="7" borderId="8" xfId="0" applyFont="1" applyFill="1" applyBorder="1" applyAlignment="1">
      <alignment horizontal="center" wrapText="1"/>
    </xf>
    <xf numFmtId="0" fontId="18" fillId="7" borderId="13" xfId="0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horizontal="center" vertical="center" wrapText="1"/>
    </xf>
    <xf numFmtId="0" fontId="25" fillId="7" borderId="11" xfId="0" applyFont="1" applyFill="1" applyBorder="1" applyAlignment="1">
      <alignment horizontal="center" vertical="center" wrapText="1"/>
    </xf>
    <xf numFmtId="4" fontId="11" fillId="7" borderId="12" xfId="0" applyNumberFormat="1" applyFont="1" applyFill="1" applyBorder="1" applyAlignment="1">
      <alignment horizontal="center"/>
    </xf>
    <xf numFmtId="4" fontId="11" fillId="7" borderId="7" xfId="0" applyNumberFormat="1" applyFont="1" applyFill="1" applyBorder="1" applyAlignment="1">
      <alignment horizontal="center"/>
    </xf>
    <xf numFmtId="9" fontId="11" fillId="7" borderId="7" xfId="0" applyNumberFormat="1" applyFont="1" applyFill="1" applyBorder="1" applyAlignment="1">
      <alignment horizontal="center"/>
    </xf>
    <xf numFmtId="2" fontId="11" fillId="7" borderId="7" xfId="0" applyNumberFormat="1" applyFont="1" applyFill="1" applyBorder="1" applyAlignment="1">
      <alignment horizontal="center"/>
    </xf>
    <xf numFmtId="4" fontId="11" fillId="7" borderId="14" xfId="0" applyNumberFormat="1" applyFont="1" applyFill="1" applyBorder="1" applyAlignment="1">
      <alignment horizontal="center"/>
    </xf>
    <xf numFmtId="0" fontId="7" fillId="7" borderId="8" xfId="0" applyFont="1" applyFill="1" applyBorder="1" applyAlignment="1">
      <alignment horizontal="justify"/>
    </xf>
    <xf numFmtId="0" fontId="26" fillId="7" borderId="13" xfId="0" applyFont="1" applyFill="1" applyBorder="1" applyAlignment="1">
      <alignment horizontal="center" vertical="center" wrapText="1"/>
    </xf>
    <xf numFmtId="0" fontId="0" fillId="7" borderId="11" xfId="0" applyFont="1" applyFill="1" applyBorder="1" applyAlignment="1">
      <alignment horizontal="center" vertical="center" wrapText="1"/>
    </xf>
    <xf numFmtId="0" fontId="0" fillId="7" borderId="11" xfId="0" applyFont="1" applyFill="1" applyBorder="1" applyAlignment="1">
      <alignment horizontal="center" wrapText="1"/>
    </xf>
    <xf numFmtId="2" fontId="34" fillId="7" borderId="7" xfId="0" applyNumberFormat="1" applyFont="1" applyFill="1" applyBorder="1" applyAlignment="1">
      <alignment horizontal="center"/>
    </xf>
    <xf numFmtId="0" fontId="14" fillId="7" borderId="8" xfId="0" applyFont="1" applyFill="1" applyBorder="1" applyAlignment="1">
      <alignment horizontal="center"/>
    </xf>
    <xf numFmtId="0" fontId="27" fillId="7" borderId="11" xfId="0" applyFont="1" applyFill="1" applyBorder="1" applyAlignment="1">
      <alignment horizontal="center" vertical="center" wrapText="1"/>
    </xf>
    <xf numFmtId="4" fontId="11" fillId="8" borderId="12" xfId="0" applyNumberFormat="1" applyFont="1" applyFill="1" applyBorder="1" applyAlignment="1">
      <alignment horizontal="center"/>
    </xf>
    <xf numFmtId="4" fontId="11" fillId="8" borderId="7" xfId="0" applyNumberFormat="1" applyFont="1" applyFill="1" applyBorder="1" applyAlignment="1">
      <alignment horizontal="center"/>
    </xf>
    <xf numFmtId="9" fontId="11" fillId="8" borderId="7" xfId="0" applyNumberFormat="1" applyFont="1" applyFill="1" applyBorder="1" applyAlignment="1">
      <alignment horizontal="center"/>
    </xf>
    <xf numFmtId="4" fontId="11" fillId="8" borderId="14" xfId="0" applyNumberFormat="1" applyFont="1" applyFill="1" applyBorder="1" applyAlignment="1">
      <alignment horizontal="center"/>
    </xf>
    <xf numFmtId="0" fontId="2" fillId="9" borderId="8" xfId="0" applyFont="1" applyFill="1" applyBorder="1" applyAlignment="1">
      <alignment horizontal="justify"/>
    </xf>
    <xf numFmtId="0" fontId="15" fillId="9" borderId="0" xfId="0" applyFont="1" applyFill="1" applyBorder="1" applyAlignment="1">
      <alignment horizontal="center"/>
    </xf>
    <xf numFmtId="0" fontId="18" fillId="9" borderId="13" xfId="0" applyFont="1" applyFill="1" applyBorder="1" applyAlignment="1">
      <alignment horizontal="center" vertical="center"/>
    </xf>
    <xf numFmtId="0" fontId="23" fillId="9" borderId="13" xfId="0" applyFont="1" applyFill="1" applyBorder="1" applyAlignment="1">
      <alignment horizontal="center" vertical="center" wrapText="1"/>
    </xf>
    <xf numFmtId="0" fontId="25" fillId="10" borderId="13" xfId="0" applyFont="1" applyFill="1" applyBorder="1" applyAlignment="1">
      <alignment horizontal="center" vertical="center" wrapText="1"/>
    </xf>
    <xf numFmtId="0" fontId="36" fillId="0" borderId="0" xfId="0" applyFont="1"/>
    <xf numFmtId="0" fontId="37" fillId="0" borderId="0" xfId="0" applyFont="1"/>
    <xf numFmtId="4" fontId="11" fillId="11" borderId="12" xfId="0" applyNumberFormat="1" applyFont="1" applyFill="1" applyBorder="1" applyAlignment="1">
      <alignment horizontal="center"/>
    </xf>
    <xf numFmtId="4" fontId="11" fillId="11" borderId="7" xfId="0" applyNumberFormat="1" applyFont="1" applyFill="1" applyBorder="1" applyAlignment="1">
      <alignment horizontal="center"/>
    </xf>
    <xf numFmtId="9" fontId="11" fillId="11" borderId="7" xfId="0" applyNumberFormat="1" applyFont="1" applyFill="1" applyBorder="1" applyAlignment="1">
      <alignment horizontal="center"/>
    </xf>
    <xf numFmtId="4" fontId="11" fillId="11" borderId="14" xfId="0" applyNumberFormat="1" applyFont="1" applyFill="1" applyBorder="1" applyAlignment="1">
      <alignment horizontal="center"/>
    </xf>
    <xf numFmtId="4" fontId="11" fillId="12" borderId="12" xfId="0" applyNumberFormat="1" applyFont="1" applyFill="1" applyBorder="1" applyAlignment="1">
      <alignment horizontal="center"/>
    </xf>
    <xf numFmtId="4" fontId="11" fillId="12" borderId="7" xfId="0" applyNumberFormat="1" applyFont="1" applyFill="1" applyBorder="1" applyAlignment="1">
      <alignment horizontal="center"/>
    </xf>
    <xf numFmtId="9" fontId="11" fillId="12" borderId="7" xfId="0" applyNumberFormat="1" applyFont="1" applyFill="1" applyBorder="1" applyAlignment="1">
      <alignment horizontal="center"/>
    </xf>
    <xf numFmtId="4" fontId="11" fillId="12" borderId="14" xfId="0" applyNumberFormat="1" applyFont="1" applyFill="1" applyBorder="1" applyAlignment="1">
      <alignment horizontal="center"/>
    </xf>
    <xf numFmtId="0" fontId="2" fillId="13" borderId="8" xfId="0" applyFont="1" applyFill="1" applyBorder="1" applyAlignment="1">
      <alignment horizontal="justify"/>
    </xf>
    <xf numFmtId="0" fontId="4" fillId="13" borderId="8" xfId="0" applyFont="1" applyFill="1" applyBorder="1" applyAlignment="1">
      <alignment horizontal="center" wrapText="1"/>
    </xf>
    <xf numFmtId="0" fontId="18" fillId="13" borderId="13" xfId="0" applyFont="1" applyFill="1" applyBorder="1" applyAlignment="1">
      <alignment horizontal="center" vertical="center"/>
    </xf>
    <xf numFmtId="0" fontId="26" fillId="13" borderId="13" xfId="0" applyFont="1" applyFill="1" applyBorder="1" applyAlignment="1">
      <alignment horizontal="center" vertical="center" wrapText="1"/>
    </xf>
    <xf numFmtId="0" fontId="2" fillId="15" borderId="8" xfId="0" applyFont="1" applyFill="1" applyBorder="1" applyAlignment="1">
      <alignment horizontal="justify"/>
    </xf>
    <xf numFmtId="0" fontId="4" fillId="15" borderId="8" xfId="0" applyFont="1" applyFill="1" applyBorder="1" applyAlignment="1">
      <alignment horizontal="center" wrapText="1"/>
    </xf>
    <xf numFmtId="0" fontId="18" fillId="15" borderId="13" xfId="0" applyFont="1" applyFill="1" applyBorder="1" applyAlignment="1">
      <alignment horizontal="center" vertical="center"/>
    </xf>
    <xf numFmtId="0" fontId="26" fillId="15" borderId="13" xfId="0" applyFont="1" applyFill="1" applyBorder="1" applyAlignment="1">
      <alignment horizontal="center" vertical="center" wrapText="1"/>
    </xf>
    <xf numFmtId="0" fontId="15" fillId="15" borderId="8" xfId="0" applyFont="1" applyFill="1" applyBorder="1" applyAlignment="1">
      <alignment horizontal="center"/>
    </xf>
    <xf numFmtId="0" fontId="4" fillId="16" borderId="8" xfId="0" applyFont="1" applyFill="1" applyBorder="1" applyAlignment="1">
      <alignment horizontal="center" wrapText="1"/>
    </xf>
    <xf numFmtId="0" fontId="38" fillId="17" borderId="8" xfId="0" applyFont="1" applyFill="1" applyBorder="1" applyAlignment="1">
      <alignment horizontal="center"/>
    </xf>
    <xf numFmtId="0" fontId="15" fillId="17" borderId="8" xfId="0" applyFont="1" applyFill="1" applyBorder="1" applyAlignment="1">
      <alignment horizontal="center"/>
    </xf>
    <xf numFmtId="0" fontId="39" fillId="18" borderId="8" xfId="0" applyFont="1" applyFill="1" applyBorder="1" applyAlignment="1">
      <alignment horizontal="center" wrapText="1"/>
    </xf>
    <xf numFmtId="0" fontId="40" fillId="18" borderId="8" xfId="0" applyFont="1" applyFill="1" applyBorder="1" applyAlignment="1">
      <alignment horizontal="center"/>
    </xf>
    <xf numFmtId="0" fontId="4" fillId="17" borderId="8" xfId="0" applyFont="1" applyFill="1" applyBorder="1" applyAlignment="1">
      <alignment horizontal="center" wrapText="1"/>
    </xf>
    <xf numFmtId="0" fontId="41" fillId="19" borderId="11" xfId="0" applyFont="1" applyFill="1" applyBorder="1" applyAlignment="1">
      <alignment horizontal="center" vertical="center" wrapText="1"/>
    </xf>
    <xf numFmtId="0" fontId="40" fillId="16" borderId="8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wrapText="1"/>
    </xf>
    <xf numFmtId="0" fontId="42" fillId="17" borderId="0" xfId="0" applyFont="1" applyFill="1" applyBorder="1" applyAlignment="1">
      <alignment horizontal="center"/>
    </xf>
    <xf numFmtId="0" fontId="40" fillId="21" borderId="8" xfId="0" applyFont="1" applyFill="1" applyBorder="1" applyAlignment="1">
      <alignment horizontal="center"/>
    </xf>
    <xf numFmtId="0" fontId="17" fillId="13" borderId="8" xfId="0" applyFont="1" applyFill="1" applyBorder="1" applyAlignment="1">
      <alignment horizontal="center" wrapText="1"/>
    </xf>
    <xf numFmtId="0" fontId="17" fillId="2" borderId="8" xfId="0" applyFont="1" applyFill="1" applyBorder="1" applyAlignment="1">
      <alignment horizontal="center" wrapText="1"/>
    </xf>
    <xf numFmtId="0" fontId="43" fillId="4" borderId="8" xfId="0" applyFont="1" applyFill="1" applyBorder="1" applyAlignment="1">
      <alignment horizontal="center"/>
    </xf>
    <xf numFmtId="0" fontId="32" fillId="20" borderId="8" xfId="0" applyFont="1" applyFill="1" applyBorder="1" applyAlignment="1">
      <alignment horizontal="center" wrapText="1"/>
    </xf>
    <xf numFmtId="0" fontId="44" fillId="16" borderId="8" xfId="0" applyFont="1" applyFill="1" applyBorder="1" applyAlignment="1">
      <alignment horizontal="center" wrapText="1"/>
    </xf>
    <xf numFmtId="0" fontId="39" fillId="16" borderId="8" xfId="0" applyFont="1" applyFill="1" applyBorder="1" applyAlignment="1">
      <alignment horizontal="center" wrapText="1"/>
    </xf>
    <xf numFmtId="0" fontId="14" fillId="16" borderId="8" xfId="0" applyFont="1" applyFill="1" applyBorder="1" applyAlignment="1">
      <alignment horizontal="center"/>
    </xf>
    <xf numFmtId="0" fontId="38" fillId="16" borderId="8" xfId="0" applyFont="1" applyFill="1" applyBorder="1" applyAlignment="1">
      <alignment horizontal="center"/>
    </xf>
    <xf numFmtId="0" fontId="46" fillId="16" borderId="8" xfId="0" applyFont="1" applyFill="1" applyBorder="1" applyAlignment="1">
      <alignment horizontal="center" wrapText="1"/>
    </xf>
    <xf numFmtId="0" fontId="15" fillId="22" borderId="0" xfId="0" applyFont="1" applyFill="1" applyBorder="1" applyAlignment="1">
      <alignment horizontal="center"/>
    </xf>
    <xf numFmtId="0" fontId="4" fillId="21" borderId="8" xfId="0" applyFont="1" applyFill="1" applyBorder="1" applyAlignment="1">
      <alignment horizontal="center" wrapText="1"/>
    </xf>
    <xf numFmtId="0" fontId="47" fillId="23" borderId="8" xfId="0" applyFont="1" applyFill="1" applyBorder="1" applyAlignment="1">
      <alignment horizontal="justify"/>
    </xf>
    <xf numFmtId="4" fontId="0" fillId="0" borderId="0" xfId="0" applyNumberFormat="1"/>
    <xf numFmtId="0" fontId="4" fillId="17" borderId="0" xfId="0" applyFont="1" applyFill="1" applyBorder="1" applyAlignment="1">
      <alignment horizontal="center" wrapText="1"/>
    </xf>
    <xf numFmtId="0" fontId="48" fillId="17" borderId="8" xfId="0" applyFont="1" applyFill="1" applyBorder="1" applyAlignment="1">
      <alignment horizontal="center"/>
    </xf>
    <xf numFmtId="0" fontId="27" fillId="24" borderId="0" xfId="0" applyFont="1" applyFill="1" applyAlignment="1">
      <alignment horizontal="center" vertical="center"/>
    </xf>
    <xf numFmtId="0" fontId="19" fillId="20" borderId="0" xfId="0" applyFont="1" applyFill="1" applyBorder="1"/>
    <xf numFmtId="0" fontId="0" fillId="0" borderId="0" xfId="0" applyBorder="1"/>
    <xf numFmtId="9" fontId="21" fillId="0" borderId="0" xfId="0" applyNumberFormat="1" applyFont="1" applyBorder="1" applyAlignment="1">
      <alignment horizontal="center"/>
    </xf>
    <xf numFmtId="10" fontId="21" fillId="0" borderId="0" xfId="0" applyNumberFormat="1" applyFont="1" applyBorder="1" applyAlignment="1">
      <alignment horizontal="center"/>
    </xf>
    <xf numFmtId="0" fontId="19" fillId="20" borderId="20" xfId="0" applyFont="1" applyFill="1" applyBorder="1"/>
    <xf numFmtId="0" fontId="0" fillId="0" borderId="20" xfId="0" applyBorder="1"/>
    <xf numFmtId="0" fontId="0" fillId="0" borderId="21" xfId="0" applyBorder="1"/>
    <xf numFmtId="0" fontId="22" fillId="0" borderId="22" xfId="0" applyFont="1" applyBorder="1" applyAlignment="1"/>
    <xf numFmtId="0" fontId="22" fillId="0" borderId="23" xfId="0" applyFont="1" applyBorder="1" applyAlignment="1"/>
    <xf numFmtId="0" fontId="19" fillId="0" borderId="23" xfId="0" applyFont="1" applyFill="1" applyBorder="1"/>
    <xf numFmtId="0" fontId="0" fillId="0" borderId="23" xfId="0" applyBorder="1"/>
    <xf numFmtId="0" fontId="0" fillId="0" borderId="24" xfId="0" applyBorder="1"/>
    <xf numFmtId="0" fontId="51" fillId="0" borderId="27" xfId="0" applyFont="1" applyFill="1" applyBorder="1"/>
    <xf numFmtId="0" fontId="50" fillId="0" borderId="0" xfId="0" applyFont="1" applyFill="1" applyBorder="1"/>
    <xf numFmtId="0" fontId="19" fillId="20" borderId="0" xfId="0" quotePrefix="1" applyFont="1" applyFill="1" applyBorder="1"/>
    <xf numFmtId="0" fontId="45" fillId="0" borderId="0" xfId="0" applyFont="1" applyBorder="1"/>
    <xf numFmtId="2" fontId="20" fillId="0" borderId="28" xfId="0" applyNumberFormat="1" applyFont="1" applyBorder="1" applyAlignment="1">
      <alignment horizontal="center"/>
    </xf>
    <xf numFmtId="4" fontId="21" fillId="0" borderId="28" xfId="0" applyNumberFormat="1" applyFont="1" applyBorder="1" applyAlignment="1">
      <alignment horizontal="center"/>
    </xf>
    <xf numFmtId="4" fontId="21" fillId="0" borderId="26" xfId="0" applyNumberFormat="1" applyFont="1" applyBorder="1" applyAlignment="1">
      <alignment horizontal="center"/>
    </xf>
    <xf numFmtId="4" fontId="20" fillId="0" borderId="26" xfId="0" applyNumberFormat="1" applyFont="1" applyBorder="1" applyAlignment="1">
      <alignment horizontal="center"/>
    </xf>
    <xf numFmtId="4" fontId="21" fillId="0" borderId="26" xfId="0" applyNumberFormat="1" applyFont="1" applyBorder="1"/>
    <xf numFmtId="2" fontId="20" fillId="0" borderId="29" xfId="0" applyNumberFormat="1" applyFont="1" applyBorder="1" applyAlignment="1">
      <alignment horizontal="center"/>
    </xf>
    <xf numFmtId="4" fontId="21" fillId="0" borderId="29" xfId="0" applyNumberFormat="1" applyFont="1" applyBorder="1" applyAlignment="1">
      <alignment horizontal="center"/>
    </xf>
    <xf numFmtId="9" fontId="21" fillId="0" borderId="29" xfId="0" applyNumberFormat="1" applyFont="1" applyBorder="1" applyAlignment="1">
      <alignment horizontal="center"/>
    </xf>
    <xf numFmtId="10" fontId="21" fillId="0" borderId="29" xfId="0" applyNumberFormat="1" applyFont="1" applyBorder="1" applyAlignment="1">
      <alignment horizontal="center"/>
    </xf>
    <xf numFmtId="4" fontId="20" fillId="0" borderId="29" xfId="0" applyNumberFormat="1" applyFont="1" applyBorder="1" applyAlignment="1">
      <alignment horizontal="center"/>
    </xf>
    <xf numFmtId="4" fontId="21" fillId="0" borderId="29" xfId="0" applyNumberFormat="1" applyFont="1" applyBorder="1"/>
    <xf numFmtId="4" fontId="11" fillId="25" borderId="7" xfId="0" applyNumberFormat="1" applyFont="1" applyFill="1" applyBorder="1" applyAlignment="1">
      <alignment horizontal="center"/>
    </xf>
    <xf numFmtId="0" fontId="52" fillId="0" borderId="0" xfId="0" applyFont="1"/>
    <xf numFmtId="9" fontId="54" fillId="0" borderId="0" xfId="0" applyNumberFormat="1" applyFont="1"/>
    <xf numFmtId="0" fontId="55" fillId="7" borderId="13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55" fillId="4" borderId="13" xfId="0" applyFont="1" applyFill="1" applyBorder="1" applyAlignment="1">
      <alignment horizontal="center" vertical="center" wrapText="1"/>
    </xf>
    <xf numFmtId="0" fontId="56" fillId="4" borderId="13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58" fillId="4" borderId="13" xfId="0" applyFont="1" applyFill="1" applyBorder="1" applyAlignment="1">
      <alignment horizontal="center" vertical="center" wrapText="1"/>
    </xf>
    <xf numFmtId="0" fontId="0" fillId="5" borderId="13" xfId="0" applyFont="1" applyFill="1" applyBorder="1" applyAlignment="1">
      <alignment horizontal="center" vertical="center" wrapText="1"/>
    </xf>
    <xf numFmtId="0" fontId="55" fillId="6" borderId="13" xfId="0" applyFont="1" applyFill="1" applyBorder="1" applyAlignment="1">
      <alignment horizontal="center" vertical="center" wrapText="1"/>
    </xf>
    <xf numFmtId="0" fontId="55" fillId="9" borderId="13" xfId="0" applyFont="1" applyFill="1" applyBorder="1" applyAlignment="1">
      <alignment horizontal="center" vertical="center" wrapText="1"/>
    </xf>
    <xf numFmtId="0" fontId="56" fillId="3" borderId="13" xfId="0" applyFont="1" applyFill="1" applyBorder="1" applyAlignment="1">
      <alignment horizontal="center" vertical="center" wrapText="1"/>
    </xf>
    <xf numFmtId="0" fontId="56" fillId="2" borderId="13" xfId="0" applyFont="1" applyFill="1" applyBorder="1" applyAlignment="1">
      <alignment horizontal="center" vertical="center" wrapText="1"/>
    </xf>
    <xf numFmtId="0" fontId="55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13" borderId="13" xfId="0" applyFont="1" applyFill="1" applyBorder="1" applyAlignment="1">
      <alignment horizontal="center" vertical="center" wrapText="1"/>
    </xf>
    <xf numFmtId="0" fontId="0" fillId="15" borderId="13" xfId="0" applyFont="1" applyFill="1" applyBorder="1" applyAlignment="1">
      <alignment horizontal="center" vertical="center" wrapText="1"/>
    </xf>
    <xf numFmtId="0" fontId="58" fillId="3" borderId="13" xfId="0" applyFont="1" applyFill="1" applyBorder="1" applyAlignment="1">
      <alignment horizontal="center" vertical="center" wrapText="1"/>
    </xf>
    <xf numFmtId="0" fontId="55" fillId="5" borderId="13" xfId="0" applyFont="1" applyFill="1" applyBorder="1" applyAlignment="1">
      <alignment horizontal="center" vertical="center" wrapText="1"/>
    </xf>
    <xf numFmtId="0" fontId="61" fillId="5" borderId="0" xfId="0" applyFont="1" applyFill="1" applyAlignment="1">
      <alignment horizontal="center" vertical="center" wrapText="1"/>
    </xf>
    <xf numFmtId="0" fontId="61" fillId="6" borderId="0" xfId="0" applyFont="1" applyFill="1" applyAlignment="1">
      <alignment horizontal="center" vertical="center" wrapText="1"/>
    </xf>
    <xf numFmtId="4" fontId="21" fillId="0" borderId="0" xfId="0" applyNumberFormat="1" applyFont="1" applyBorder="1" applyAlignment="1">
      <alignment horizontal="center"/>
    </xf>
    <xf numFmtId="9" fontId="11" fillId="5" borderId="0" xfId="0" applyNumberFormat="1" applyFont="1" applyFill="1" applyBorder="1" applyAlignment="1">
      <alignment horizontal="center"/>
    </xf>
    <xf numFmtId="0" fontId="28" fillId="5" borderId="0" xfId="0" applyFont="1" applyFill="1" applyAlignment="1">
      <alignment horizontal="center" vertical="center" textRotation="60"/>
    </xf>
    <xf numFmtId="0" fontId="13" fillId="3" borderId="17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justify" wrapText="1"/>
    </xf>
    <xf numFmtId="0" fontId="3" fillId="5" borderId="31" xfId="0" applyFont="1" applyFill="1" applyBorder="1" applyAlignment="1">
      <alignment horizontal="center"/>
    </xf>
    <xf numFmtId="0" fontId="3" fillId="17" borderId="31" xfId="0" applyFont="1" applyFill="1" applyBorder="1" applyAlignment="1">
      <alignment horizontal="center"/>
    </xf>
    <xf numFmtId="0" fontId="3" fillId="17" borderId="32" xfId="0" applyFont="1" applyFill="1" applyBorder="1" applyAlignment="1">
      <alignment horizontal="center"/>
    </xf>
    <xf numFmtId="0" fontId="18" fillId="4" borderId="30" xfId="0" applyFont="1" applyFill="1" applyBorder="1" applyAlignment="1">
      <alignment horizontal="center" vertical="center"/>
    </xf>
    <xf numFmtId="0" fontId="0" fillId="5" borderId="30" xfId="0" applyFont="1" applyFill="1" applyBorder="1" applyAlignment="1">
      <alignment horizontal="center" vertical="center" wrapText="1"/>
    </xf>
    <xf numFmtId="0" fontId="25" fillId="4" borderId="30" xfId="0" applyFont="1" applyFill="1" applyBorder="1" applyAlignment="1">
      <alignment horizontal="center" vertical="center" wrapText="1"/>
    </xf>
    <xf numFmtId="0" fontId="26" fillId="5" borderId="30" xfId="0" applyFont="1" applyFill="1" applyBorder="1" applyAlignment="1">
      <alignment horizontal="center" vertical="center" wrapText="1"/>
    </xf>
    <xf numFmtId="4" fontId="11" fillId="5" borderId="33" xfId="0" applyNumberFormat="1" applyFont="1" applyFill="1" applyBorder="1" applyAlignment="1">
      <alignment horizontal="center"/>
    </xf>
    <xf numFmtId="4" fontId="11" fillId="5" borderId="34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wrapText="1"/>
    </xf>
    <xf numFmtId="0" fontId="65" fillId="9" borderId="8" xfId="0" applyFont="1" applyFill="1" applyBorder="1" applyAlignment="1">
      <alignment horizontal="center"/>
    </xf>
    <xf numFmtId="0" fontId="66" fillId="0" borderId="0" xfId="0" applyFont="1" applyAlignment="1">
      <alignment horizontal="center" vertical="center"/>
    </xf>
    <xf numFmtId="0" fontId="19" fillId="4" borderId="13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4" fontId="11" fillId="5" borderId="36" xfId="0" applyNumberFormat="1" applyFont="1" applyFill="1" applyBorder="1" applyAlignment="1">
      <alignment horizontal="center"/>
    </xf>
    <xf numFmtId="4" fontId="11" fillId="5" borderId="37" xfId="0" applyNumberFormat="1" applyFont="1" applyFill="1" applyBorder="1" applyAlignment="1">
      <alignment horizontal="center"/>
    </xf>
    <xf numFmtId="9" fontId="11" fillId="5" borderId="37" xfId="0" applyNumberFormat="1" applyFont="1" applyFill="1" applyBorder="1" applyAlignment="1">
      <alignment horizontal="center"/>
    </xf>
    <xf numFmtId="0" fontId="53" fillId="0" borderId="0" xfId="0" applyFont="1" applyBorder="1" applyAlignment="1">
      <alignment horizontal="center" vertical="center" wrapText="1"/>
    </xf>
    <xf numFmtId="4" fontId="11" fillId="5" borderId="38" xfId="0" applyNumberFormat="1" applyFont="1" applyFill="1" applyBorder="1" applyAlignment="1">
      <alignment horizontal="center"/>
    </xf>
    <xf numFmtId="9" fontId="11" fillId="5" borderId="34" xfId="0" applyNumberFormat="1" applyFont="1" applyFill="1" applyBorder="1" applyAlignment="1">
      <alignment horizontal="center"/>
    </xf>
    <xf numFmtId="4" fontId="11" fillId="2" borderId="40" xfId="0" applyNumberFormat="1" applyFont="1" applyFill="1" applyBorder="1"/>
    <xf numFmtId="4" fontId="21" fillId="0" borderId="37" xfId="0" applyNumberFormat="1" applyFont="1" applyFill="1" applyBorder="1" applyAlignment="1">
      <alignment horizontal="center"/>
    </xf>
    <xf numFmtId="0" fontId="0" fillId="0" borderId="37" xfId="0" applyBorder="1"/>
    <xf numFmtId="4" fontId="11" fillId="2" borderId="39" xfId="0" applyNumberFormat="1" applyFont="1" applyFill="1" applyBorder="1"/>
    <xf numFmtId="0" fontId="0" fillId="0" borderId="38" xfId="0" applyBorder="1"/>
    <xf numFmtId="0" fontId="0" fillId="0" borderId="41" xfId="0" applyBorder="1"/>
    <xf numFmtId="0" fontId="19" fillId="20" borderId="41" xfId="0" applyFont="1" applyFill="1" applyBorder="1"/>
    <xf numFmtId="0" fontId="45" fillId="0" borderId="41" xfId="0" applyFont="1" applyBorder="1"/>
    <xf numFmtId="0" fontId="0" fillId="0" borderId="33" xfId="0" applyBorder="1"/>
    <xf numFmtId="0" fontId="0" fillId="0" borderId="42" xfId="0" applyBorder="1"/>
    <xf numFmtId="0" fontId="0" fillId="0" borderId="43" xfId="0" applyBorder="1"/>
    <xf numFmtId="0" fontId="19" fillId="20" borderId="43" xfId="0" applyFont="1" applyFill="1" applyBorder="1"/>
    <xf numFmtId="0" fontId="45" fillId="0" borderId="43" xfId="0" applyFont="1" applyBorder="1"/>
    <xf numFmtId="0" fontId="0" fillId="0" borderId="44" xfId="0" applyBorder="1"/>
    <xf numFmtId="17" fontId="64" fillId="4" borderId="13" xfId="0" applyNumberFormat="1" applyFont="1" applyFill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justify"/>
    </xf>
    <xf numFmtId="0" fontId="69" fillId="4" borderId="11" xfId="0" applyFont="1" applyFill="1" applyBorder="1" applyAlignment="1">
      <alignment horizontal="center" wrapText="1"/>
    </xf>
    <xf numFmtId="0" fontId="64" fillId="4" borderId="11" xfId="0" applyFont="1" applyFill="1" applyBorder="1" applyAlignment="1">
      <alignment horizontal="center"/>
    </xf>
    <xf numFmtId="0" fontId="70" fillId="0" borderId="0" xfId="0" applyNumberFormat="1" applyFont="1"/>
    <xf numFmtId="4" fontId="70" fillId="0" borderId="0" xfId="0" applyNumberFormat="1" applyFont="1"/>
    <xf numFmtId="4" fontId="12" fillId="0" borderId="0" xfId="0" applyNumberFormat="1" applyFont="1"/>
    <xf numFmtId="0" fontId="18" fillId="4" borderId="45" xfId="0" applyFont="1" applyFill="1" applyBorder="1" applyAlignment="1">
      <alignment horizontal="center" vertical="center"/>
    </xf>
    <xf numFmtId="0" fontId="56" fillId="4" borderId="45" xfId="0" applyFont="1" applyFill="1" applyBorder="1" applyAlignment="1">
      <alignment horizontal="center" vertical="center" wrapText="1"/>
    </xf>
    <xf numFmtId="0" fontId="32" fillId="4" borderId="45" xfId="0" applyFont="1" applyFill="1" applyBorder="1" applyAlignment="1">
      <alignment horizontal="center" vertical="center" wrapText="1"/>
    </xf>
    <xf numFmtId="4" fontId="11" fillId="4" borderId="36" xfId="0" applyNumberFormat="1" applyFont="1" applyFill="1" applyBorder="1" applyAlignment="1">
      <alignment horizontal="center"/>
    </xf>
    <xf numFmtId="9" fontId="11" fillId="4" borderId="37" xfId="0" applyNumberFormat="1" applyFont="1" applyFill="1" applyBorder="1" applyAlignment="1">
      <alignment horizontal="center"/>
    </xf>
    <xf numFmtId="4" fontId="11" fillId="2" borderId="45" xfId="0" applyNumberFormat="1" applyFont="1" applyFill="1" applyBorder="1"/>
    <xf numFmtId="0" fontId="0" fillId="26" borderId="0" xfId="0" applyFill="1"/>
    <xf numFmtId="0" fontId="71" fillId="26" borderId="0" xfId="0" applyFont="1" applyFill="1" applyBorder="1"/>
    <xf numFmtId="0" fontId="22" fillId="27" borderId="11" xfId="0" applyFont="1" applyFill="1" applyBorder="1" applyAlignment="1">
      <alignment horizontal="center" wrapText="1"/>
    </xf>
    <xf numFmtId="0" fontId="22" fillId="26" borderId="0" xfId="0" applyFont="1" applyFill="1"/>
    <xf numFmtId="0" fontId="53" fillId="28" borderId="11" xfId="0" applyFont="1" applyFill="1" applyBorder="1" applyAlignment="1">
      <alignment horizontal="center" wrapText="1"/>
    </xf>
    <xf numFmtId="0" fontId="71" fillId="27" borderId="11" xfId="0" applyFont="1" applyFill="1" applyBorder="1" applyAlignment="1">
      <alignment horizontal="center" wrapText="1"/>
    </xf>
    <xf numFmtId="0" fontId="67" fillId="28" borderId="11" xfId="0" applyFont="1" applyFill="1" applyBorder="1" applyAlignment="1">
      <alignment horizontal="center" wrapText="1"/>
    </xf>
    <xf numFmtId="0" fontId="68" fillId="28" borderId="11" xfId="0" applyFont="1" applyFill="1" applyBorder="1" applyAlignment="1">
      <alignment horizontal="center" wrapText="1"/>
    </xf>
    <xf numFmtId="0" fontId="53" fillId="27" borderId="30" xfId="0" applyFont="1" applyFill="1" applyBorder="1" applyAlignment="1">
      <alignment horizontal="center"/>
    </xf>
    <xf numFmtId="0" fontId="53" fillId="29" borderId="11" xfId="0" applyFont="1" applyFill="1" applyBorder="1" applyAlignment="1">
      <alignment horizontal="center" wrapText="1"/>
    </xf>
    <xf numFmtId="0" fontId="18" fillId="27" borderId="11" xfId="0" applyFont="1" applyFill="1" applyBorder="1" applyAlignment="1">
      <alignment horizontal="center" wrapText="1"/>
    </xf>
    <xf numFmtId="0" fontId="67" fillId="27" borderId="11" xfId="0" applyFont="1" applyFill="1" applyBorder="1" applyAlignment="1">
      <alignment horizontal="center" wrapText="1"/>
    </xf>
    <xf numFmtId="0" fontId="53" fillId="27" borderId="11" xfId="0" applyFont="1" applyFill="1" applyBorder="1" applyAlignment="1">
      <alignment horizontal="center" wrapText="1"/>
    </xf>
    <xf numFmtId="0" fontId="53" fillId="27" borderId="13" xfId="0" applyFont="1" applyFill="1" applyBorder="1" applyAlignment="1">
      <alignment horizontal="center" wrapText="1"/>
    </xf>
    <xf numFmtId="0" fontId="18" fillId="28" borderId="11" xfId="0" applyFont="1" applyFill="1" applyBorder="1" applyAlignment="1">
      <alignment horizontal="center"/>
    </xf>
    <xf numFmtId="0" fontId="64" fillId="28" borderId="45" xfId="0" applyFont="1" applyFill="1" applyBorder="1" applyAlignment="1">
      <alignment horizontal="center"/>
    </xf>
    <xf numFmtId="0" fontId="68" fillId="31" borderId="11" xfId="0" applyFont="1" applyFill="1" applyBorder="1" applyAlignment="1">
      <alignment horizontal="center" wrapText="1"/>
    </xf>
    <xf numFmtId="0" fontId="68" fillId="31" borderId="13" xfId="0" applyFont="1" applyFill="1" applyBorder="1" applyAlignment="1">
      <alignment horizontal="center" wrapText="1"/>
    </xf>
    <xf numFmtId="0" fontId="68" fillId="30" borderId="11" xfId="0" applyFont="1" applyFill="1" applyBorder="1" applyAlignment="1">
      <alignment horizontal="center" wrapText="1"/>
    </xf>
    <xf numFmtId="0" fontId="18" fillId="27" borderId="11" xfId="0" applyFont="1" applyFill="1" applyBorder="1" applyAlignment="1">
      <alignment horizontal="center"/>
    </xf>
    <xf numFmtId="0" fontId="22" fillId="0" borderId="0" xfId="0" applyFont="1"/>
    <xf numFmtId="0" fontId="22" fillId="26" borderId="0" xfId="0" applyFont="1" applyFill="1" applyAlignment="1">
      <alignment horizontal="center"/>
    </xf>
    <xf numFmtId="0" fontId="13" fillId="28" borderId="11" xfId="0" applyFont="1" applyFill="1" applyBorder="1" applyAlignment="1">
      <alignment horizontal="center"/>
    </xf>
    <xf numFmtId="4" fontId="67" fillId="27" borderId="11" xfId="0" applyNumberFormat="1" applyFont="1" applyFill="1" applyBorder="1" applyAlignment="1">
      <alignment horizontal="center" wrapText="1"/>
    </xf>
    <xf numFmtId="4" fontId="11" fillId="7" borderId="14" xfId="0" applyNumberFormat="1" applyFont="1" applyFill="1" applyBorder="1" applyAlignment="1">
      <alignment horizontal="center" vertical="center" wrapText="1"/>
    </xf>
    <xf numFmtId="0" fontId="22" fillId="30" borderId="13" xfId="0" applyFont="1" applyFill="1" applyBorder="1" applyAlignment="1">
      <alignment horizontal="center" wrapText="1"/>
    </xf>
    <xf numFmtId="0" fontId="53" fillId="0" borderId="0" xfId="0" applyFont="1"/>
    <xf numFmtId="4" fontId="53" fillId="0" borderId="0" xfId="0" applyNumberFormat="1" applyFont="1"/>
    <xf numFmtId="0" fontId="53" fillId="0" borderId="0" xfId="0" applyFont="1" applyBorder="1"/>
    <xf numFmtId="0" fontId="54" fillId="0" borderId="20" xfId="0" applyFont="1" applyBorder="1"/>
    <xf numFmtId="0" fontId="5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69" fillId="0" borderId="0" xfId="0" applyFont="1" applyBorder="1" applyAlignment="1">
      <alignment wrapText="1"/>
    </xf>
    <xf numFmtId="49" fontId="11" fillId="5" borderId="7" xfId="0" applyNumberFormat="1" applyFont="1" applyFill="1" applyBorder="1" applyAlignment="1">
      <alignment horizontal="center"/>
    </xf>
    <xf numFmtId="2" fontId="11" fillId="5" borderId="37" xfId="0" applyNumberFormat="1" applyFont="1" applyFill="1" applyBorder="1" applyAlignment="1">
      <alignment horizontal="center"/>
    </xf>
    <xf numFmtId="0" fontId="72" fillId="0" borderId="0" xfId="0" applyFont="1"/>
    <xf numFmtId="0" fontId="71" fillId="0" borderId="0" xfId="0" applyFont="1"/>
    <xf numFmtId="0" fontId="54" fillId="32" borderId="0" xfId="0" applyFont="1" applyFill="1"/>
    <xf numFmtId="0" fontId="0" fillId="32" borderId="0" xfId="0" applyFill="1"/>
    <xf numFmtId="0" fontId="52" fillId="32" borderId="0" xfId="0" applyFont="1" applyFill="1"/>
    <xf numFmtId="0" fontId="73" fillId="32" borderId="0" xfId="0" applyFont="1" applyFill="1"/>
    <xf numFmtId="0" fontId="70" fillId="32" borderId="0" xfId="0" applyFont="1" applyFill="1"/>
    <xf numFmtId="0" fontId="22" fillId="32" borderId="0" xfId="0" applyFont="1" applyFill="1"/>
    <xf numFmtId="4" fontId="0" fillId="0" borderId="0" xfId="0" applyNumberFormat="1" applyBorder="1"/>
    <xf numFmtId="0" fontId="18" fillId="30" borderId="11" xfId="0" applyFont="1" applyFill="1" applyBorder="1" applyAlignment="1">
      <alignment horizontal="center"/>
    </xf>
    <xf numFmtId="0" fontId="53" fillId="26" borderId="18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71" fillId="26" borderId="0" xfId="0" applyFont="1" applyFill="1" applyBorder="1" applyAlignment="1">
      <alignment horizontal="center"/>
    </xf>
    <xf numFmtId="4" fontId="69" fillId="0" borderId="0" xfId="0" applyNumberFormat="1" applyFont="1"/>
    <xf numFmtId="4" fontId="27" fillId="0" borderId="0" xfId="0" applyNumberFormat="1" applyFont="1"/>
    <xf numFmtId="0" fontId="27" fillId="0" borderId="0" xfId="0" applyFont="1" applyBorder="1"/>
    <xf numFmtId="0" fontId="27" fillId="0" borderId="0" xfId="0" applyFont="1" applyFill="1" applyBorder="1"/>
    <xf numFmtId="4" fontId="27" fillId="0" borderId="0" xfId="0" applyNumberFormat="1" applyFont="1" applyBorder="1"/>
    <xf numFmtId="0" fontId="19" fillId="0" borderId="27" xfId="0" applyFont="1" applyBorder="1"/>
    <xf numFmtId="0" fontId="19" fillId="0" borderId="25" xfId="0" applyFont="1" applyBorder="1"/>
    <xf numFmtId="0" fontId="19" fillId="0" borderId="27" xfId="0" applyFont="1" applyFill="1" applyBorder="1"/>
    <xf numFmtId="0" fontId="75" fillId="0" borderId="0" xfId="0" applyFont="1" applyFill="1" applyBorder="1"/>
    <xf numFmtId="0" fontId="22" fillId="0" borderId="0" xfId="0" applyFont="1" applyBorder="1"/>
    <xf numFmtId="0" fontId="54" fillId="0" borderId="0" xfId="0" applyFont="1" applyBorder="1"/>
    <xf numFmtId="4" fontId="71" fillId="0" borderId="0" xfId="0" applyNumberFormat="1" applyFont="1" applyBorder="1"/>
    <xf numFmtId="0" fontId="70" fillId="0" borderId="41" xfId="0" applyFont="1" applyBorder="1"/>
    <xf numFmtId="0" fontId="22" fillId="0" borderId="19" xfId="0" applyFont="1" applyBorder="1" applyAlignment="1"/>
    <xf numFmtId="0" fontId="22" fillId="0" borderId="20" xfId="0" applyFont="1" applyBorder="1" applyAlignment="1"/>
    <xf numFmtId="0" fontId="61" fillId="5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center" vertical="center" textRotation="60"/>
    </xf>
    <xf numFmtId="0" fontId="1" fillId="0" borderId="1" xfId="0" applyNumberFormat="1" applyFont="1" applyBorder="1" applyAlignment="1">
      <alignment horizontal="center"/>
    </xf>
    <xf numFmtId="0" fontId="61" fillId="7" borderId="0" xfId="0" applyFont="1" applyFill="1" applyAlignment="1">
      <alignment horizontal="center" vertical="center" wrapText="1"/>
    </xf>
    <xf numFmtId="0" fontId="61" fillId="4" borderId="0" xfId="0" applyFont="1" applyFill="1" applyAlignment="1">
      <alignment horizontal="center" vertical="center" wrapText="1"/>
    </xf>
    <xf numFmtId="0" fontId="61" fillId="2" borderId="0" xfId="0" applyFont="1" applyFill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0" fontId="30" fillId="5" borderId="16" xfId="0" applyFont="1" applyFill="1" applyBorder="1" applyAlignment="1">
      <alignment horizontal="center" vertical="center" wrapText="1"/>
    </xf>
    <xf numFmtId="0" fontId="61" fillId="3" borderId="17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62" fillId="13" borderId="17" xfId="0" applyFont="1" applyFill="1" applyBorder="1" applyAlignment="1">
      <alignment horizontal="center" vertical="center" wrapText="1"/>
    </xf>
    <xf numFmtId="0" fontId="63" fillId="14" borderId="17" xfId="0" applyFont="1" applyFill="1" applyBorder="1" applyAlignment="1">
      <alignment horizontal="center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35" xfId="0" applyFont="1" applyBorder="1" applyAlignment="1">
      <alignment horizontal="center" vertical="center" wrapText="1"/>
    </xf>
    <xf numFmtId="0" fontId="64" fillId="4" borderId="15" xfId="0" applyFont="1" applyFill="1" applyBorder="1" applyAlignment="1">
      <alignment horizontal="center" vertical="center"/>
    </xf>
    <xf numFmtId="0" fontId="64" fillId="4" borderId="16" xfId="0" applyFont="1" applyFill="1" applyBorder="1" applyAlignment="1">
      <alignment horizontal="center" vertical="center"/>
    </xf>
    <xf numFmtId="0" fontId="5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74" fillId="0" borderId="27" xfId="0" applyFont="1" applyFill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80"/>
  <sheetViews>
    <sheetView tabSelected="1" view="pageBreakPreview" topLeftCell="B44" zoomScale="50" zoomScaleNormal="50" zoomScaleSheetLayoutView="50" workbookViewId="0">
      <selection activeCell="F55" sqref="F55"/>
    </sheetView>
  </sheetViews>
  <sheetFormatPr defaultRowHeight="15" x14ac:dyDescent="0.25"/>
  <cols>
    <col min="2" max="2" width="31" customWidth="1"/>
    <col min="3" max="3" width="27.5703125" customWidth="1"/>
    <col min="4" max="4" width="30.140625" customWidth="1"/>
    <col min="5" max="5" width="19.5703125" customWidth="1"/>
    <col min="6" max="6" width="20.140625" customWidth="1"/>
    <col min="7" max="7" width="56.7109375" customWidth="1"/>
    <col min="8" max="8" width="54.28515625" customWidth="1"/>
    <col min="9" max="9" width="33" customWidth="1"/>
    <col min="10" max="10" width="26.85546875" customWidth="1"/>
    <col min="11" max="11" width="29.140625" customWidth="1"/>
    <col min="12" max="12" width="29.28515625" customWidth="1"/>
    <col min="13" max="14" width="20.7109375" customWidth="1"/>
    <col min="15" max="15" width="25" customWidth="1"/>
    <col min="16" max="21" width="20.7109375" customWidth="1"/>
    <col min="22" max="22" width="14" customWidth="1"/>
    <col min="23" max="23" width="33.7109375" customWidth="1"/>
  </cols>
  <sheetData>
    <row r="3" spans="2:23" x14ac:dyDescent="0.25">
      <c r="C3" s="332" t="s">
        <v>0</v>
      </c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1"/>
    </row>
    <row r="4" spans="2:23" x14ac:dyDescent="0.25"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1"/>
    </row>
    <row r="5" spans="2:23" x14ac:dyDescent="0.25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2:23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2:23" x14ac:dyDescent="0.25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2:23" s="81" customFormat="1" ht="99" customHeight="1" x14ac:dyDescent="0.25">
      <c r="C8" s="82" t="s">
        <v>1</v>
      </c>
      <c r="D8" s="82" t="s">
        <v>2</v>
      </c>
      <c r="E8" s="82" t="s">
        <v>98</v>
      </c>
      <c r="F8" s="82" t="s">
        <v>99</v>
      </c>
      <c r="G8" s="82" t="s">
        <v>3</v>
      </c>
      <c r="H8" s="82" t="s">
        <v>4</v>
      </c>
      <c r="I8" s="83" t="s">
        <v>95</v>
      </c>
      <c r="J8" s="83" t="s">
        <v>96</v>
      </c>
      <c r="K8" s="83" t="s">
        <v>97</v>
      </c>
      <c r="L8" s="84" t="s">
        <v>5</v>
      </c>
      <c r="M8" s="85" t="s">
        <v>6</v>
      </c>
      <c r="N8" s="85" t="s">
        <v>7</v>
      </c>
      <c r="O8" s="85" t="s">
        <v>8</v>
      </c>
      <c r="P8" s="85" t="s">
        <v>9</v>
      </c>
      <c r="Q8" s="85" t="s">
        <v>10</v>
      </c>
      <c r="R8" s="85" t="s">
        <v>11</v>
      </c>
      <c r="S8" s="86" t="s">
        <v>12</v>
      </c>
      <c r="T8" s="84" t="s">
        <v>13</v>
      </c>
      <c r="U8" s="87" t="s">
        <v>4</v>
      </c>
      <c r="V8" s="88" t="s">
        <v>14</v>
      </c>
      <c r="W8" s="88" t="s">
        <v>15</v>
      </c>
    </row>
    <row r="9" spans="2:23" ht="25.5" customHeight="1" x14ac:dyDescent="0.3">
      <c r="C9" s="2"/>
      <c r="D9" s="3"/>
      <c r="E9" s="3"/>
      <c r="F9" s="3"/>
      <c r="G9" s="3"/>
      <c r="H9" s="3"/>
      <c r="I9" s="30"/>
      <c r="J9" s="30"/>
      <c r="K9" s="30"/>
      <c r="L9" s="6"/>
      <c r="M9" s="4"/>
      <c r="N9" s="4"/>
      <c r="O9" s="4"/>
      <c r="P9" s="4"/>
      <c r="Q9" s="89"/>
      <c r="R9" s="4"/>
      <c r="S9" s="5"/>
      <c r="T9" s="6"/>
      <c r="U9" s="7" t="s">
        <v>16</v>
      </c>
      <c r="V9" s="1"/>
      <c r="W9" s="258"/>
    </row>
    <row r="10" spans="2:23" ht="50.1" customHeight="1" x14ac:dyDescent="0.3">
      <c r="C10" s="2"/>
      <c r="D10" s="3"/>
      <c r="E10" s="3"/>
      <c r="F10" s="3"/>
      <c r="G10" s="47"/>
      <c r="H10" s="47"/>
      <c r="I10" s="30"/>
      <c r="J10" s="30"/>
      <c r="K10" s="30"/>
      <c r="L10" s="6"/>
      <c r="M10" s="4"/>
      <c r="N10" s="4"/>
      <c r="O10" s="4"/>
      <c r="P10" s="4"/>
      <c r="Q10" s="90"/>
      <c r="R10" s="4"/>
      <c r="S10" s="5"/>
      <c r="T10" s="6"/>
      <c r="U10" s="7"/>
      <c r="V10" s="1"/>
      <c r="W10" s="258"/>
    </row>
    <row r="11" spans="2:23" ht="50.1" customHeight="1" x14ac:dyDescent="0.4">
      <c r="B11" s="333" t="s">
        <v>17</v>
      </c>
      <c r="C11" s="91" t="s">
        <v>18</v>
      </c>
      <c r="D11" s="92" t="s">
        <v>19</v>
      </c>
      <c r="E11" s="142"/>
      <c r="F11" s="142"/>
      <c r="G11" s="94" t="s">
        <v>257</v>
      </c>
      <c r="H11" s="196" t="s">
        <v>179</v>
      </c>
      <c r="I11" s="96" t="s">
        <v>104</v>
      </c>
      <c r="J11" s="95" t="s">
        <v>153</v>
      </c>
      <c r="K11" s="290" t="s">
        <v>232</v>
      </c>
      <c r="L11" s="97">
        <f>+O11</f>
        <v>750</v>
      </c>
      <c r="M11" s="98">
        <v>25</v>
      </c>
      <c r="N11" s="98">
        <v>30</v>
      </c>
      <c r="O11" s="98">
        <f>+M11*N11</f>
        <v>750</v>
      </c>
      <c r="P11" s="99">
        <v>0.04</v>
      </c>
      <c r="Q11" s="100" t="s">
        <v>231</v>
      </c>
      <c r="R11" s="98">
        <f>ROUND((O11*P11),2)</f>
        <v>30</v>
      </c>
      <c r="S11" s="98">
        <f>ROUND((O11-R11),2)</f>
        <v>720</v>
      </c>
      <c r="T11" s="291" t="s">
        <v>230</v>
      </c>
      <c r="U11" s="45">
        <f>+O11+R11+1.81</f>
        <v>781.81</v>
      </c>
      <c r="V11" s="9">
        <f>+S11/N11</f>
        <v>24</v>
      </c>
      <c r="W11" s="10">
        <f>+U11</f>
        <v>781.81</v>
      </c>
    </row>
    <row r="12" spans="2:23" ht="50.1" customHeight="1" x14ac:dyDescent="0.4">
      <c r="B12" s="333"/>
      <c r="C12" s="102"/>
      <c r="D12" s="93"/>
      <c r="E12" s="93"/>
      <c r="F12" s="93"/>
      <c r="G12" s="94"/>
      <c r="H12" s="197"/>
      <c r="I12" s="104"/>
      <c r="J12" s="103"/>
      <c r="K12" s="105"/>
      <c r="L12" s="97"/>
      <c r="M12" s="98"/>
      <c r="N12" s="98"/>
      <c r="O12" s="98"/>
      <c r="P12" s="99"/>
      <c r="Q12" s="106"/>
      <c r="R12" s="98"/>
      <c r="S12" s="98"/>
      <c r="T12" s="101"/>
      <c r="U12" s="45"/>
      <c r="V12" s="11"/>
      <c r="W12" s="10"/>
    </row>
    <row r="13" spans="2:23" ht="50.1" customHeight="1" x14ac:dyDescent="0.4">
      <c r="B13" s="333"/>
      <c r="C13" s="91" t="s">
        <v>20</v>
      </c>
      <c r="D13" s="107" t="s">
        <v>21</v>
      </c>
      <c r="E13" s="164" t="s">
        <v>197</v>
      </c>
      <c r="F13" s="138"/>
      <c r="G13" s="94" t="s">
        <v>22</v>
      </c>
      <c r="H13" s="197" t="s">
        <v>23</v>
      </c>
      <c r="I13" s="108" t="s">
        <v>105</v>
      </c>
      <c r="J13" s="103" t="s">
        <v>215</v>
      </c>
      <c r="K13" s="269" t="s">
        <v>216</v>
      </c>
      <c r="L13" s="97">
        <f t="shared" ref="L13:L26" si="0">+O13</f>
        <v>625</v>
      </c>
      <c r="M13" s="98">
        <v>25</v>
      </c>
      <c r="N13" s="98">
        <v>25</v>
      </c>
      <c r="O13" s="98">
        <f t="shared" ref="O13:O42" si="1">+M13*N13</f>
        <v>625</v>
      </c>
      <c r="P13" s="99">
        <v>0.2</v>
      </c>
      <c r="Q13" s="99"/>
      <c r="R13" s="98">
        <f t="shared" ref="R13:R42" si="2">ROUND((O13*P13),2)</f>
        <v>125</v>
      </c>
      <c r="S13" s="98">
        <f t="shared" ref="S13:S42" si="3">ROUND((O13-R13),2)</f>
        <v>500</v>
      </c>
      <c r="T13" s="101">
        <f t="shared" ref="T13:T41" si="4">ROUND((O13*0.085),2)</f>
        <v>53.13</v>
      </c>
      <c r="U13" s="45">
        <f>+S13+R13+T13</f>
        <v>678.13</v>
      </c>
      <c r="V13" s="9">
        <f t="shared" ref="V13:V26" si="5">+S13/N13</f>
        <v>20</v>
      </c>
      <c r="W13" s="10"/>
    </row>
    <row r="14" spans="2:23" ht="50.1" customHeight="1" x14ac:dyDescent="0.4">
      <c r="B14" s="334" t="s">
        <v>24</v>
      </c>
      <c r="C14" s="36" t="s">
        <v>25</v>
      </c>
      <c r="D14" s="12" t="s">
        <v>26</v>
      </c>
      <c r="E14" s="154" t="s">
        <v>138</v>
      </c>
      <c r="F14" s="155"/>
      <c r="G14" s="49" t="s">
        <v>132</v>
      </c>
      <c r="H14" s="198" t="s">
        <v>136</v>
      </c>
      <c r="I14" s="46" t="s">
        <v>106</v>
      </c>
      <c r="J14" s="59" t="s">
        <v>150</v>
      </c>
      <c r="K14" s="288" t="s">
        <v>243</v>
      </c>
      <c r="L14" s="26">
        <f t="shared" si="0"/>
        <v>250</v>
      </c>
      <c r="M14" s="13">
        <v>25</v>
      </c>
      <c r="N14" s="13">
        <v>10</v>
      </c>
      <c r="O14" s="13">
        <f t="shared" si="1"/>
        <v>250</v>
      </c>
      <c r="P14" s="73"/>
      <c r="Q14" s="73"/>
      <c r="R14" s="13">
        <f t="shared" si="2"/>
        <v>0</v>
      </c>
      <c r="S14" s="13">
        <f t="shared" si="3"/>
        <v>250</v>
      </c>
      <c r="T14" s="74"/>
      <c r="U14" s="45">
        <f t="shared" ref="U14:U41" si="6">+S14+R14+T14</f>
        <v>250</v>
      </c>
      <c r="V14" s="9">
        <f t="shared" si="5"/>
        <v>25</v>
      </c>
      <c r="W14" s="10">
        <f>+U14+U15+U16+U18+U19+U20+U21+U22</f>
        <v>4498.3500000000004</v>
      </c>
    </row>
    <row r="15" spans="2:23" ht="50.1" customHeight="1" x14ac:dyDescent="0.4">
      <c r="B15" s="334"/>
      <c r="C15" s="36" t="s">
        <v>27</v>
      </c>
      <c r="D15" s="12" t="s">
        <v>28</v>
      </c>
      <c r="E15" s="137"/>
      <c r="F15" s="137"/>
      <c r="G15" s="49" t="s">
        <v>174</v>
      </c>
      <c r="H15" s="198" t="s">
        <v>180</v>
      </c>
      <c r="I15" s="46" t="s">
        <v>107</v>
      </c>
      <c r="J15" s="59" t="s">
        <v>175</v>
      </c>
      <c r="K15" s="273" t="s">
        <v>208</v>
      </c>
      <c r="L15" s="26">
        <f t="shared" si="0"/>
        <v>500</v>
      </c>
      <c r="M15" s="13">
        <v>25</v>
      </c>
      <c r="N15" s="13">
        <v>20</v>
      </c>
      <c r="O15" s="13">
        <f t="shared" si="1"/>
        <v>500</v>
      </c>
      <c r="P15" s="73"/>
      <c r="Q15" s="73"/>
      <c r="R15" s="13">
        <f t="shared" si="2"/>
        <v>0</v>
      </c>
      <c r="S15" s="13">
        <f t="shared" si="3"/>
        <v>500</v>
      </c>
      <c r="T15" s="74"/>
      <c r="U15" s="45">
        <f t="shared" si="6"/>
        <v>500</v>
      </c>
      <c r="V15" s="9">
        <f t="shared" si="5"/>
        <v>25</v>
      </c>
      <c r="W15" s="10"/>
    </row>
    <row r="16" spans="2:23" ht="50.1" customHeight="1" x14ac:dyDescent="0.4">
      <c r="B16" s="334"/>
      <c r="C16" s="36" t="s">
        <v>29</v>
      </c>
      <c r="D16" s="14" t="s">
        <v>30</v>
      </c>
      <c r="E16" s="157"/>
      <c r="F16" s="157"/>
      <c r="G16" s="49" t="s">
        <v>31</v>
      </c>
      <c r="H16" s="199" t="s">
        <v>32</v>
      </c>
      <c r="I16" s="46" t="s">
        <v>108</v>
      </c>
      <c r="J16" s="60" t="s">
        <v>160</v>
      </c>
      <c r="K16" s="281" t="s">
        <v>237</v>
      </c>
      <c r="L16" s="26">
        <f t="shared" si="0"/>
        <v>500</v>
      </c>
      <c r="M16" s="13">
        <v>25</v>
      </c>
      <c r="N16" s="13">
        <v>20</v>
      </c>
      <c r="O16" s="13">
        <f>+M16*N16</f>
        <v>500</v>
      </c>
      <c r="P16" s="73">
        <v>0.2</v>
      </c>
      <c r="Q16" s="73"/>
      <c r="R16" s="13">
        <f t="shared" si="2"/>
        <v>100</v>
      </c>
      <c r="S16" s="13">
        <f t="shared" si="3"/>
        <v>400</v>
      </c>
      <c r="T16" s="74">
        <f t="shared" si="4"/>
        <v>42.5</v>
      </c>
      <c r="U16" s="45">
        <f t="shared" si="6"/>
        <v>542.5</v>
      </c>
      <c r="V16" s="9">
        <f>+S16/N16</f>
        <v>20</v>
      </c>
      <c r="W16" s="10"/>
    </row>
    <row r="17" spans="1:23" ht="50.1" customHeight="1" x14ac:dyDescent="0.4">
      <c r="B17" s="334"/>
      <c r="C17" s="36"/>
      <c r="D17" s="14"/>
      <c r="E17" s="157"/>
      <c r="F17" s="157"/>
      <c r="G17" s="261" t="s">
        <v>55</v>
      </c>
      <c r="H17" s="262"/>
      <c r="I17" s="54" t="s">
        <v>117</v>
      </c>
      <c r="J17" s="263"/>
      <c r="K17" s="282" t="s">
        <v>238</v>
      </c>
      <c r="L17" s="264">
        <v>250</v>
      </c>
      <c r="M17" s="13">
        <v>25</v>
      </c>
      <c r="N17" s="13">
        <v>20</v>
      </c>
      <c r="O17" s="13">
        <f>+L17</f>
        <v>250</v>
      </c>
      <c r="P17" s="73">
        <v>0.2</v>
      </c>
      <c r="Q17" s="265"/>
      <c r="R17" s="13">
        <f t="shared" si="2"/>
        <v>50</v>
      </c>
      <c r="S17" s="13">
        <f t="shared" si="3"/>
        <v>200</v>
      </c>
      <c r="T17" s="74">
        <f t="shared" si="4"/>
        <v>21.25</v>
      </c>
      <c r="U17" s="266"/>
      <c r="V17" s="9"/>
      <c r="W17" s="10"/>
    </row>
    <row r="18" spans="1:23" ht="42" customHeight="1" x14ac:dyDescent="0.4">
      <c r="B18" s="334"/>
      <c r="C18" s="255"/>
      <c r="D18" s="12"/>
      <c r="E18" s="158" t="s">
        <v>205</v>
      </c>
      <c r="F18" s="155"/>
      <c r="G18" s="49" t="s">
        <v>148</v>
      </c>
      <c r="H18" s="232" t="s">
        <v>206</v>
      </c>
      <c r="I18" s="46" t="s">
        <v>109</v>
      </c>
      <c r="J18" s="61" t="s">
        <v>149</v>
      </c>
      <c r="K18" s="256" t="s">
        <v>218</v>
      </c>
      <c r="L18" s="26">
        <f t="shared" si="0"/>
        <v>500</v>
      </c>
      <c r="M18" s="13">
        <v>25</v>
      </c>
      <c r="N18" s="13">
        <v>20</v>
      </c>
      <c r="O18" s="13">
        <f t="shared" si="1"/>
        <v>500</v>
      </c>
      <c r="P18" s="73">
        <v>0.2</v>
      </c>
      <c r="Q18" s="73"/>
      <c r="R18" s="13">
        <f t="shared" si="2"/>
        <v>100</v>
      </c>
      <c r="S18" s="13">
        <f t="shared" si="3"/>
        <v>400</v>
      </c>
      <c r="T18" s="74">
        <f t="shared" si="4"/>
        <v>42.5</v>
      </c>
      <c r="U18" s="45">
        <f t="shared" si="6"/>
        <v>542.5</v>
      </c>
      <c r="V18" s="9">
        <f t="shared" si="5"/>
        <v>20</v>
      </c>
      <c r="W18" s="10"/>
    </row>
    <row r="19" spans="1:23" ht="57" customHeight="1" x14ac:dyDescent="0.4">
      <c r="B19" s="334"/>
      <c r="C19" s="36" t="s">
        <v>33</v>
      </c>
      <c r="D19" s="14" t="s">
        <v>30</v>
      </c>
      <c r="E19" s="156"/>
      <c r="F19" s="156"/>
      <c r="G19" s="49" t="s">
        <v>174</v>
      </c>
      <c r="H19" s="198" t="s">
        <v>181</v>
      </c>
      <c r="I19" s="46" t="s">
        <v>110</v>
      </c>
      <c r="J19" s="59" t="s">
        <v>177</v>
      </c>
      <c r="K19" s="274" t="s">
        <v>209</v>
      </c>
      <c r="L19" s="26">
        <f t="shared" si="0"/>
        <v>500</v>
      </c>
      <c r="M19" s="13">
        <v>25</v>
      </c>
      <c r="N19" s="13">
        <v>20</v>
      </c>
      <c r="O19" s="13">
        <f t="shared" si="1"/>
        <v>500</v>
      </c>
      <c r="P19" s="73"/>
      <c r="Q19" s="73"/>
      <c r="R19" s="13">
        <f t="shared" si="2"/>
        <v>0</v>
      </c>
      <c r="S19" s="13">
        <f t="shared" si="3"/>
        <v>500</v>
      </c>
      <c r="T19" s="74"/>
      <c r="U19" s="45">
        <f t="shared" si="6"/>
        <v>500</v>
      </c>
      <c r="V19" s="9">
        <f t="shared" si="5"/>
        <v>25</v>
      </c>
      <c r="W19" s="10"/>
    </row>
    <row r="20" spans="1:23" ht="50.1" customHeight="1" x14ac:dyDescent="0.4">
      <c r="B20" s="334"/>
      <c r="C20" s="36" t="s">
        <v>34</v>
      </c>
      <c r="D20" s="12" t="s">
        <v>35</v>
      </c>
      <c r="E20" s="155"/>
      <c r="F20" s="155"/>
      <c r="G20" s="49" t="s">
        <v>174</v>
      </c>
      <c r="H20" s="198" t="s">
        <v>182</v>
      </c>
      <c r="I20" s="46" t="s">
        <v>111</v>
      </c>
      <c r="J20" s="59" t="s">
        <v>176</v>
      </c>
      <c r="K20" s="273" t="s">
        <v>210</v>
      </c>
      <c r="L20" s="26">
        <f t="shared" si="0"/>
        <v>250</v>
      </c>
      <c r="M20" s="13">
        <v>25</v>
      </c>
      <c r="N20" s="13">
        <v>10</v>
      </c>
      <c r="O20" s="13">
        <f t="shared" si="1"/>
        <v>250</v>
      </c>
      <c r="P20" s="73"/>
      <c r="Q20" s="73"/>
      <c r="R20" s="13">
        <f t="shared" si="2"/>
        <v>0</v>
      </c>
      <c r="S20" s="13">
        <f t="shared" si="3"/>
        <v>250</v>
      </c>
      <c r="T20" s="74">
        <f t="shared" si="4"/>
        <v>21.25</v>
      </c>
      <c r="U20" s="45">
        <f t="shared" si="6"/>
        <v>271.25</v>
      </c>
      <c r="V20" s="9">
        <f t="shared" si="5"/>
        <v>25</v>
      </c>
      <c r="W20" s="10"/>
    </row>
    <row r="21" spans="1:23" ht="50.1" customHeight="1" x14ac:dyDescent="0.4">
      <c r="B21" s="334"/>
      <c r="C21" s="36" t="s">
        <v>36</v>
      </c>
      <c r="D21" s="12" t="s">
        <v>37</v>
      </c>
      <c r="E21" s="153" t="s">
        <v>139</v>
      </c>
      <c r="F21" s="147"/>
      <c r="G21" s="49" t="s">
        <v>132</v>
      </c>
      <c r="H21" s="198" t="s">
        <v>183</v>
      </c>
      <c r="I21" s="46" t="s">
        <v>112</v>
      </c>
      <c r="J21" s="59" t="s">
        <v>151</v>
      </c>
      <c r="K21" s="274" t="s">
        <v>240</v>
      </c>
      <c r="L21" s="26">
        <f t="shared" si="0"/>
        <v>525</v>
      </c>
      <c r="M21" s="13">
        <v>25</v>
      </c>
      <c r="N21" s="13">
        <v>21</v>
      </c>
      <c r="O21" s="13">
        <f t="shared" si="1"/>
        <v>525</v>
      </c>
      <c r="P21" s="73"/>
      <c r="Q21" s="73"/>
      <c r="R21" s="13">
        <f t="shared" si="2"/>
        <v>0</v>
      </c>
      <c r="S21" s="13">
        <f t="shared" si="3"/>
        <v>525</v>
      </c>
      <c r="T21" s="74"/>
      <c r="U21" s="45">
        <f t="shared" si="6"/>
        <v>525</v>
      </c>
      <c r="V21" s="9">
        <f t="shared" si="5"/>
        <v>25</v>
      </c>
      <c r="W21" s="10"/>
    </row>
    <row r="22" spans="1:23" ht="50.1" customHeight="1" x14ac:dyDescent="0.45">
      <c r="B22" s="334"/>
      <c r="C22" s="36" t="s">
        <v>38</v>
      </c>
      <c r="D22" s="14" t="s">
        <v>39</v>
      </c>
      <c r="E22" s="152" t="s">
        <v>137</v>
      </c>
      <c r="F22" s="14"/>
      <c r="G22" s="49" t="s">
        <v>40</v>
      </c>
      <c r="H22" s="201" t="s">
        <v>41</v>
      </c>
      <c r="I22" s="46" t="s">
        <v>113</v>
      </c>
      <c r="J22" s="62"/>
      <c r="K22" s="257" t="s">
        <v>217</v>
      </c>
      <c r="L22" s="26">
        <f t="shared" si="0"/>
        <v>1260</v>
      </c>
      <c r="M22" s="13">
        <v>28</v>
      </c>
      <c r="N22" s="13">
        <v>45</v>
      </c>
      <c r="O22" s="13">
        <f t="shared" si="1"/>
        <v>1260</v>
      </c>
      <c r="P22" s="73">
        <v>0.2</v>
      </c>
      <c r="Q22" s="73"/>
      <c r="R22" s="13">
        <f t="shared" si="2"/>
        <v>252</v>
      </c>
      <c r="S22" s="13">
        <f t="shared" si="3"/>
        <v>1008</v>
      </c>
      <c r="T22" s="74">
        <f t="shared" si="4"/>
        <v>107.1</v>
      </c>
      <c r="U22" s="45">
        <f t="shared" si="6"/>
        <v>1367.1</v>
      </c>
      <c r="V22" s="9">
        <f t="shared" si="5"/>
        <v>22.4</v>
      </c>
      <c r="W22" s="10"/>
    </row>
    <row r="23" spans="1:23" ht="50.1" customHeight="1" x14ac:dyDescent="0.4">
      <c r="A23" s="267"/>
      <c r="B23" s="213" t="s">
        <v>42</v>
      </c>
      <c r="C23" s="37" t="s">
        <v>43</v>
      </c>
      <c r="D23" s="16" t="s">
        <v>44</v>
      </c>
      <c r="E23" s="138"/>
      <c r="F23" s="138"/>
      <c r="G23" s="50" t="s">
        <v>45</v>
      </c>
      <c r="H23" s="202" t="s">
        <v>184</v>
      </c>
      <c r="I23" s="46" t="s">
        <v>114</v>
      </c>
      <c r="J23" s="63" t="s">
        <v>147</v>
      </c>
      <c r="K23" s="269" t="s">
        <v>234</v>
      </c>
      <c r="L23" s="27">
        <f t="shared" si="0"/>
        <v>1470</v>
      </c>
      <c r="M23" s="17">
        <v>24.5</v>
      </c>
      <c r="N23" s="17">
        <v>60</v>
      </c>
      <c r="O23" s="17">
        <f t="shared" si="1"/>
        <v>1470</v>
      </c>
      <c r="P23" s="75">
        <v>0.2</v>
      </c>
      <c r="Q23" s="75"/>
      <c r="R23" s="17">
        <f t="shared" si="2"/>
        <v>294</v>
      </c>
      <c r="S23" s="17">
        <f t="shared" si="3"/>
        <v>1176</v>
      </c>
      <c r="T23" s="76">
        <f t="shared" si="4"/>
        <v>124.95</v>
      </c>
      <c r="U23" s="45">
        <f t="shared" si="6"/>
        <v>1594.95</v>
      </c>
      <c r="V23" s="9">
        <f t="shared" si="5"/>
        <v>19.600000000000001</v>
      </c>
      <c r="W23" s="10">
        <f>+U23</f>
        <v>1594.95</v>
      </c>
    </row>
    <row r="24" spans="1:23" ht="50.1" customHeight="1" x14ac:dyDescent="0.4">
      <c r="B24" s="214" t="s">
        <v>46</v>
      </c>
      <c r="C24" s="38" t="s">
        <v>47</v>
      </c>
      <c r="D24" s="18" t="s">
        <v>48</v>
      </c>
      <c r="E24" s="159"/>
      <c r="F24" s="159"/>
      <c r="G24" s="51" t="s">
        <v>130</v>
      </c>
      <c r="H24" s="203" t="s">
        <v>185</v>
      </c>
      <c r="I24" s="46" t="s">
        <v>115</v>
      </c>
      <c r="J24" s="64" t="s">
        <v>161</v>
      </c>
      <c r="K24" s="283">
        <v>67</v>
      </c>
      <c r="L24" s="28">
        <f t="shared" si="0"/>
        <v>500</v>
      </c>
      <c r="M24" s="19">
        <v>25</v>
      </c>
      <c r="N24" s="19">
        <v>20</v>
      </c>
      <c r="O24" s="19">
        <f t="shared" si="1"/>
        <v>500</v>
      </c>
      <c r="P24" s="77">
        <v>0.2</v>
      </c>
      <c r="Q24" s="77"/>
      <c r="R24" s="19">
        <f t="shared" si="2"/>
        <v>100</v>
      </c>
      <c r="S24" s="19">
        <f t="shared" si="3"/>
        <v>400</v>
      </c>
      <c r="T24" s="78">
        <f t="shared" si="4"/>
        <v>42.5</v>
      </c>
      <c r="U24" s="45">
        <f t="shared" si="6"/>
        <v>542.5</v>
      </c>
      <c r="V24" s="9">
        <f t="shared" si="5"/>
        <v>20</v>
      </c>
      <c r="W24" s="10">
        <f>+U24</f>
        <v>542.5</v>
      </c>
    </row>
    <row r="25" spans="1:23" ht="50.1" customHeight="1" x14ac:dyDescent="0.4">
      <c r="A25" s="287" t="s">
        <v>241</v>
      </c>
      <c r="B25" s="339" t="s">
        <v>49</v>
      </c>
      <c r="C25" s="113" t="s">
        <v>200</v>
      </c>
      <c r="D25" s="230" t="s">
        <v>201</v>
      </c>
      <c r="E25" s="114"/>
      <c r="F25" s="114"/>
      <c r="G25" s="115" t="s">
        <v>130</v>
      </c>
      <c r="H25" s="204" t="s">
        <v>131</v>
      </c>
      <c r="I25" s="117" t="s">
        <v>202</v>
      </c>
      <c r="J25" s="116" t="s">
        <v>246</v>
      </c>
      <c r="K25" s="284">
        <v>69</v>
      </c>
      <c r="L25" s="109">
        <f t="shared" si="0"/>
        <v>250</v>
      </c>
      <c r="M25" s="110">
        <v>25</v>
      </c>
      <c r="N25" s="110">
        <v>10</v>
      </c>
      <c r="O25" s="110">
        <f t="shared" si="1"/>
        <v>250</v>
      </c>
      <c r="P25" s="111">
        <v>0.2</v>
      </c>
      <c r="Q25" s="111"/>
      <c r="R25" s="110">
        <f t="shared" si="2"/>
        <v>50</v>
      </c>
      <c r="S25" s="110">
        <f t="shared" si="3"/>
        <v>200</v>
      </c>
      <c r="T25" s="112">
        <f t="shared" si="4"/>
        <v>21.25</v>
      </c>
      <c r="U25" s="45">
        <f t="shared" si="6"/>
        <v>271.25</v>
      </c>
      <c r="V25" s="9"/>
      <c r="W25" s="10"/>
    </row>
    <row r="26" spans="1:23" ht="50.1" customHeight="1" x14ac:dyDescent="0.4">
      <c r="B26" s="340"/>
      <c r="C26" s="35" t="s">
        <v>36</v>
      </c>
      <c r="D26" s="20" t="s">
        <v>50</v>
      </c>
      <c r="E26" s="139"/>
      <c r="F26" s="139"/>
      <c r="G26" s="49" t="s">
        <v>132</v>
      </c>
      <c r="H26" s="205" t="s">
        <v>51</v>
      </c>
      <c r="I26" s="53" t="s">
        <v>116</v>
      </c>
      <c r="J26" s="65" t="s">
        <v>152</v>
      </c>
      <c r="K26" s="286" t="s">
        <v>242</v>
      </c>
      <c r="L26" s="25">
        <f t="shared" si="0"/>
        <v>250</v>
      </c>
      <c r="M26" s="8">
        <v>25</v>
      </c>
      <c r="N26" s="8">
        <v>10</v>
      </c>
      <c r="O26" s="8">
        <f t="shared" si="1"/>
        <v>250</v>
      </c>
      <c r="P26" s="71"/>
      <c r="Q26" s="71"/>
      <c r="R26" s="110">
        <f t="shared" si="2"/>
        <v>0</v>
      </c>
      <c r="S26" s="8">
        <f t="shared" si="3"/>
        <v>250</v>
      </c>
      <c r="T26" s="72"/>
      <c r="U26" s="45">
        <f t="shared" si="6"/>
        <v>250</v>
      </c>
      <c r="V26" s="9">
        <f t="shared" si="5"/>
        <v>25</v>
      </c>
      <c r="W26" s="10">
        <f>+U26+U25</f>
        <v>521.25</v>
      </c>
    </row>
    <row r="27" spans="1:23" ht="50.1" customHeight="1" x14ac:dyDescent="0.4">
      <c r="B27" s="335" t="s">
        <v>52</v>
      </c>
      <c r="C27" s="39" t="s">
        <v>53</v>
      </c>
      <c r="D27" s="21" t="s">
        <v>54</v>
      </c>
      <c r="E27" s="151" t="s">
        <v>141</v>
      </c>
      <c r="F27" s="21"/>
      <c r="G27" s="52" t="s">
        <v>55</v>
      </c>
      <c r="H27" s="206" t="s">
        <v>56</v>
      </c>
      <c r="J27" s="66"/>
      <c r="K27" s="311" t="s">
        <v>239</v>
      </c>
      <c r="L27" s="29">
        <v>250</v>
      </c>
      <c r="M27" s="8"/>
      <c r="N27" s="8"/>
      <c r="O27" s="22">
        <v>250</v>
      </c>
      <c r="P27" s="79">
        <v>0.2</v>
      </c>
      <c r="Q27" s="79"/>
      <c r="R27" s="110">
        <f t="shared" si="2"/>
        <v>50</v>
      </c>
      <c r="S27" s="22">
        <f t="shared" si="3"/>
        <v>200</v>
      </c>
      <c r="T27" s="80">
        <f t="shared" si="4"/>
        <v>21.25</v>
      </c>
      <c r="U27" s="45">
        <f>+L27</f>
        <v>250</v>
      </c>
      <c r="V27" s="260">
        <f>+S27+T27+R27</f>
        <v>271.25</v>
      </c>
      <c r="W27" s="10">
        <f>+U27+U28+U29+U30</f>
        <v>1335</v>
      </c>
    </row>
    <row r="28" spans="1:23" ht="50.1" customHeight="1" x14ac:dyDescent="0.4">
      <c r="B28" s="335"/>
      <c r="C28" s="161" t="s">
        <v>143</v>
      </c>
      <c r="D28" s="21" t="s">
        <v>144</v>
      </c>
      <c r="E28" s="160"/>
      <c r="F28" s="160"/>
      <c r="G28" s="52" t="s">
        <v>145</v>
      </c>
      <c r="H28" s="207" t="s">
        <v>146</v>
      </c>
      <c r="I28" s="56" t="s">
        <v>118</v>
      </c>
      <c r="J28" s="67" t="s">
        <v>162</v>
      </c>
      <c r="K28" s="285">
        <v>71</v>
      </c>
      <c r="L28" s="29">
        <v>150</v>
      </c>
      <c r="M28" s="8">
        <v>25</v>
      </c>
      <c r="N28" s="8">
        <v>6</v>
      </c>
      <c r="O28" s="22">
        <f t="shared" si="1"/>
        <v>150</v>
      </c>
      <c r="P28" s="79">
        <v>0.2</v>
      </c>
      <c r="Q28" s="79"/>
      <c r="R28" s="22">
        <f t="shared" si="2"/>
        <v>30</v>
      </c>
      <c r="S28" s="22">
        <f t="shared" si="3"/>
        <v>120</v>
      </c>
      <c r="T28" s="80">
        <f t="shared" si="4"/>
        <v>12.75</v>
      </c>
      <c r="U28" s="45">
        <f t="shared" si="6"/>
        <v>162.75</v>
      </c>
      <c r="V28" s="9">
        <f>+S28/N28</f>
        <v>20</v>
      </c>
      <c r="W28" s="10"/>
    </row>
    <row r="29" spans="1:23" ht="50.1" customHeight="1" x14ac:dyDescent="0.4">
      <c r="B29" s="335"/>
      <c r="C29" s="39" t="s">
        <v>57</v>
      </c>
      <c r="D29" s="23" t="s">
        <v>58</v>
      </c>
      <c r="E29" s="149"/>
      <c r="F29" s="149"/>
      <c r="G29" s="52" t="s">
        <v>58</v>
      </c>
      <c r="H29" s="207" t="s">
        <v>186</v>
      </c>
      <c r="I29" s="56" t="s">
        <v>119</v>
      </c>
      <c r="J29" s="67" t="s">
        <v>178</v>
      </c>
      <c r="K29" s="32"/>
      <c r="L29" s="29">
        <f>+O29</f>
        <v>350</v>
      </c>
      <c r="M29" s="22">
        <v>35</v>
      </c>
      <c r="N29" s="22">
        <v>10</v>
      </c>
      <c r="O29" s="22">
        <f t="shared" si="1"/>
        <v>350</v>
      </c>
      <c r="P29" s="79">
        <v>0.2</v>
      </c>
      <c r="Q29" s="79"/>
      <c r="R29" s="22">
        <f t="shared" si="2"/>
        <v>70</v>
      </c>
      <c r="S29" s="22">
        <f t="shared" si="3"/>
        <v>280</v>
      </c>
      <c r="T29" s="80">
        <f t="shared" si="4"/>
        <v>29.75</v>
      </c>
      <c r="U29" s="45">
        <f t="shared" si="6"/>
        <v>379.75</v>
      </c>
      <c r="V29" s="9">
        <f>+S29/N29</f>
        <v>28</v>
      </c>
      <c r="W29" s="10"/>
    </row>
    <row r="30" spans="1:23" ht="85.5" customHeight="1" x14ac:dyDescent="0.4">
      <c r="B30" s="335"/>
      <c r="C30" s="39" t="s">
        <v>59</v>
      </c>
      <c r="D30" s="21" t="s">
        <v>60</v>
      </c>
      <c r="E30" s="21"/>
      <c r="F30" s="21"/>
      <c r="G30" s="52" t="s">
        <v>61</v>
      </c>
      <c r="H30" s="208" t="s">
        <v>187</v>
      </c>
      <c r="I30" s="143"/>
      <c r="J30" s="68"/>
      <c r="K30" s="33"/>
      <c r="L30" s="29">
        <f>+O30</f>
        <v>500</v>
      </c>
      <c r="M30" s="22">
        <v>25</v>
      </c>
      <c r="N30" s="22">
        <v>20</v>
      </c>
      <c r="O30" s="22">
        <f t="shared" si="1"/>
        <v>500</v>
      </c>
      <c r="P30" s="79">
        <v>0.2</v>
      </c>
      <c r="Q30" s="79"/>
      <c r="R30" s="22">
        <f t="shared" si="2"/>
        <v>100</v>
      </c>
      <c r="S30" s="22">
        <f t="shared" si="3"/>
        <v>400</v>
      </c>
      <c r="T30" s="80">
        <f t="shared" si="4"/>
        <v>42.5</v>
      </c>
      <c r="U30" s="45">
        <f t="shared" si="6"/>
        <v>542.5</v>
      </c>
      <c r="V30" s="9">
        <f>+S30/N30</f>
        <v>20</v>
      </c>
      <c r="W30" s="10"/>
    </row>
    <row r="31" spans="1:23" ht="76.5" customHeight="1" x14ac:dyDescent="0.4">
      <c r="B31" s="341" t="s">
        <v>165</v>
      </c>
      <c r="C31" s="128" t="s">
        <v>133</v>
      </c>
      <c r="D31" s="129" t="s">
        <v>63</v>
      </c>
      <c r="E31" s="150" t="s">
        <v>135</v>
      </c>
      <c r="F31" s="129"/>
      <c r="G31" s="130" t="s">
        <v>134</v>
      </c>
      <c r="H31" s="209">
        <v>312.5</v>
      </c>
      <c r="I31" s="56"/>
      <c r="J31" s="131"/>
      <c r="K31" s="292" t="s">
        <v>245</v>
      </c>
      <c r="L31" s="120">
        <v>150</v>
      </c>
      <c r="M31" s="121"/>
      <c r="N31" s="121"/>
      <c r="O31" s="121"/>
      <c r="P31" s="122"/>
      <c r="Q31" s="122"/>
      <c r="R31" s="121"/>
      <c r="S31" s="121"/>
      <c r="T31" s="123"/>
      <c r="U31" s="45">
        <f>+L31</f>
        <v>150</v>
      </c>
      <c r="V31" s="9"/>
      <c r="W31" s="10">
        <f>+U31+U32+U33</f>
        <v>2618.38</v>
      </c>
    </row>
    <row r="32" spans="1:23" ht="68.25" customHeight="1" x14ac:dyDescent="0.5">
      <c r="B32" s="342"/>
      <c r="C32" s="132" t="s">
        <v>62</v>
      </c>
      <c r="D32" s="133" t="s">
        <v>63</v>
      </c>
      <c r="E32" s="140"/>
      <c r="F32" s="140"/>
      <c r="G32" s="134" t="s">
        <v>64</v>
      </c>
      <c r="H32" s="210" t="s">
        <v>188</v>
      </c>
      <c r="I32" s="55" t="s">
        <v>120</v>
      </c>
      <c r="J32" s="135" t="s">
        <v>156</v>
      </c>
      <c r="K32" s="276" t="s">
        <v>219</v>
      </c>
      <c r="L32" s="124">
        <f t="shared" ref="L32:L40" si="7">+O32</f>
        <v>750</v>
      </c>
      <c r="M32" s="125">
        <v>25</v>
      </c>
      <c r="N32" s="125">
        <v>30</v>
      </c>
      <c r="O32" s="125">
        <f t="shared" si="1"/>
        <v>750</v>
      </c>
      <c r="P32" s="126">
        <v>0.2</v>
      </c>
      <c r="Q32" s="126"/>
      <c r="R32" s="125">
        <f t="shared" si="2"/>
        <v>150</v>
      </c>
      <c r="S32" s="125">
        <f t="shared" si="3"/>
        <v>600</v>
      </c>
      <c r="T32" s="127">
        <f t="shared" si="4"/>
        <v>63.75</v>
      </c>
      <c r="U32" s="45">
        <f>+S32+R32+T32</f>
        <v>813.75</v>
      </c>
      <c r="V32" s="9">
        <f t="shared" ref="V32:V40" si="8">+S32/N32</f>
        <v>20</v>
      </c>
      <c r="W32" s="10"/>
    </row>
    <row r="33" spans="1:23" ht="50.1" customHeight="1" x14ac:dyDescent="0.5">
      <c r="B33" s="342"/>
      <c r="C33" s="132" t="s">
        <v>65</v>
      </c>
      <c r="D33" s="136" t="s">
        <v>66</v>
      </c>
      <c r="E33" s="141"/>
      <c r="F33" s="141"/>
      <c r="G33" s="134" t="s">
        <v>67</v>
      </c>
      <c r="H33" s="210" t="s">
        <v>188</v>
      </c>
      <c r="I33" s="55" t="s">
        <v>121</v>
      </c>
      <c r="J33" s="135" t="s">
        <v>159</v>
      </c>
      <c r="K33" s="276" t="s">
        <v>224</v>
      </c>
      <c r="L33" s="124">
        <f t="shared" si="7"/>
        <v>1525</v>
      </c>
      <c r="M33" s="125">
        <v>25</v>
      </c>
      <c r="N33" s="125">
        <v>61</v>
      </c>
      <c r="O33" s="125">
        <f t="shared" si="1"/>
        <v>1525</v>
      </c>
      <c r="P33" s="126">
        <v>0.2</v>
      </c>
      <c r="Q33" s="126"/>
      <c r="R33" s="125">
        <f t="shared" si="2"/>
        <v>305</v>
      </c>
      <c r="S33" s="125">
        <f t="shared" si="3"/>
        <v>1220</v>
      </c>
      <c r="T33" s="127">
        <f t="shared" si="4"/>
        <v>129.63</v>
      </c>
      <c r="U33" s="45">
        <f t="shared" si="6"/>
        <v>1654.63</v>
      </c>
      <c r="V33" s="9">
        <f t="shared" si="8"/>
        <v>20</v>
      </c>
      <c r="W33" s="10"/>
    </row>
    <row r="34" spans="1:23" ht="50.1" customHeight="1" x14ac:dyDescent="0.5">
      <c r="B34" s="334" t="s">
        <v>68</v>
      </c>
      <c r="C34" s="36" t="s">
        <v>69</v>
      </c>
      <c r="D34" s="15" t="s">
        <v>70</v>
      </c>
      <c r="E34" s="144"/>
      <c r="F34" s="144"/>
      <c r="G34" s="49" t="s">
        <v>71</v>
      </c>
      <c r="H34" s="200" t="s">
        <v>189</v>
      </c>
      <c r="I34" s="55" t="s">
        <v>122</v>
      </c>
      <c r="J34" s="61" t="s">
        <v>155</v>
      </c>
      <c r="K34" s="271" t="s">
        <v>220</v>
      </c>
      <c r="L34" s="26">
        <f t="shared" si="7"/>
        <v>1750</v>
      </c>
      <c r="M34" s="13">
        <v>25</v>
      </c>
      <c r="N34" s="13">
        <v>70</v>
      </c>
      <c r="O34" s="13">
        <f t="shared" si="1"/>
        <v>1750</v>
      </c>
      <c r="P34" s="73">
        <v>0.2</v>
      </c>
      <c r="Q34" s="73"/>
      <c r="R34" s="13">
        <f t="shared" si="2"/>
        <v>350</v>
      </c>
      <c r="S34" s="13">
        <f t="shared" si="3"/>
        <v>1400</v>
      </c>
      <c r="T34" s="74">
        <f t="shared" si="4"/>
        <v>148.75</v>
      </c>
      <c r="U34" s="45">
        <f t="shared" si="6"/>
        <v>1898.75</v>
      </c>
      <c r="V34" s="9">
        <f t="shared" si="8"/>
        <v>20</v>
      </c>
      <c r="W34" s="10">
        <f>+U34+U35+U36</f>
        <v>4068.75</v>
      </c>
    </row>
    <row r="35" spans="1:23" ht="50.1" customHeight="1" x14ac:dyDescent="0.5">
      <c r="B35" s="334"/>
      <c r="C35" s="36" t="s">
        <v>72</v>
      </c>
      <c r="D35" s="12" t="s">
        <v>73</v>
      </c>
      <c r="E35" s="137"/>
      <c r="F35" s="137"/>
      <c r="G35" s="49" t="s">
        <v>74</v>
      </c>
      <c r="H35" s="200" t="s">
        <v>75</v>
      </c>
      <c r="I35" s="58" t="s">
        <v>123</v>
      </c>
      <c r="J35" s="61"/>
      <c r="K35" s="271" t="s">
        <v>222</v>
      </c>
      <c r="L35" s="26">
        <f t="shared" si="7"/>
        <v>1000</v>
      </c>
      <c r="M35" s="13">
        <v>25</v>
      </c>
      <c r="N35" s="13">
        <v>40</v>
      </c>
      <c r="O35" s="13">
        <f t="shared" si="1"/>
        <v>1000</v>
      </c>
      <c r="P35" s="73">
        <v>0.2</v>
      </c>
      <c r="Q35" s="73"/>
      <c r="R35" s="13">
        <f t="shared" si="2"/>
        <v>200</v>
      </c>
      <c r="S35" s="13">
        <f t="shared" si="3"/>
        <v>800</v>
      </c>
      <c r="T35" s="74">
        <f t="shared" si="4"/>
        <v>85</v>
      </c>
      <c r="U35" s="45">
        <f t="shared" si="6"/>
        <v>1085</v>
      </c>
      <c r="V35" s="9">
        <f t="shared" si="8"/>
        <v>20</v>
      </c>
      <c r="W35" s="10">
        <f>131.3+26</f>
        <v>157.30000000000001</v>
      </c>
    </row>
    <row r="36" spans="1:23" ht="50.1" customHeight="1" x14ac:dyDescent="0.4">
      <c r="B36" s="334"/>
      <c r="C36" s="36" t="s">
        <v>76</v>
      </c>
      <c r="D36" s="12" t="s">
        <v>77</v>
      </c>
      <c r="E36" s="145"/>
      <c r="F36" s="146"/>
      <c r="G36" s="49" t="s">
        <v>78</v>
      </c>
      <c r="H36" s="198" t="s">
        <v>203</v>
      </c>
      <c r="I36" s="231" t="s">
        <v>204</v>
      </c>
      <c r="J36" s="59"/>
      <c r="K36" s="31"/>
      <c r="L36" s="26">
        <v>1000</v>
      </c>
      <c r="M36" s="13">
        <v>40</v>
      </c>
      <c r="N36" s="13">
        <v>25</v>
      </c>
      <c r="O36" s="13">
        <f t="shared" si="1"/>
        <v>1000</v>
      </c>
      <c r="P36" s="73">
        <v>0.2</v>
      </c>
      <c r="Q36" s="73"/>
      <c r="R36" s="13">
        <f t="shared" si="2"/>
        <v>200</v>
      </c>
      <c r="S36" s="13">
        <f t="shared" si="3"/>
        <v>800</v>
      </c>
      <c r="T36" s="74">
        <f t="shared" si="4"/>
        <v>85</v>
      </c>
      <c r="U36" s="45">
        <f t="shared" si="6"/>
        <v>1085</v>
      </c>
      <c r="V36" s="9">
        <f t="shared" si="8"/>
        <v>32</v>
      </c>
      <c r="W36" s="10"/>
    </row>
    <row r="37" spans="1:23" ht="55.5" customHeight="1" x14ac:dyDescent="0.45">
      <c r="B37" s="330" t="s">
        <v>79</v>
      </c>
      <c r="C37" s="37" t="s">
        <v>80</v>
      </c>
      <c r="D37" s="24" t="s">
        <v>81</v>
      </c>
      <c r="E37" s="142"/>
      <c r="F37" s="142"/>
      <c r="G37" s="50" t="s">
        <v>67</v>
      </c>
      <c r="H37" s="202" t="s">
        <v>82</v>
      </c>
      <c r="I37" s="57" t="s">
        <v>124</v>
      </c>
      <c r="J37" s="63" t="s">
        <v>158</v>
      </c>
      <c r="K37" s="272" t="s">
        <v>223</v>
      </c>
      <c r="L37" s="27">
        <f t="shared" si="7"/>
        <v>1300</v>
      </c>
      <c r="M37" s="17">
        <v>25</v>
      </c>
      <c r="N37" s="17">
        <v>52</v>
      </c>
      <c r="O37" s="17">
        <f t="shared" si="1"/>
        <v>1300</v>
      </c>
      <c r="P37" s="75">
        <v>0.2</v>
      </c>
      <c r="Q37" s="75"/>
      <c r="R37" s="17">
        <f t="shared" si="2"/>
        <v>260</v>
      </c>
      <c r="S37" s="17">
        <f t="shared" si="3"/>
        <v>1040</v>
      </c>
      <c r="T37" s="76">
        <f t="shared" si="4"/>
        <v>110.5</v>
      </c>
      <c r="U37" s="45">
        <f t="shared" si="6"/>
        <v>1410.5</v>
      </c>
      <c r="V37" s="9">
        <f t="shared" si="8"/>
        <v>20</v>
      </c>
      <c r="W37" s="10">
        <f>+U37+U38</f>
        <v>3038</v>
      </c>
    </row>
    <row r="38" spans="1:23" ht="50.1" customHeight="1" x14ac:dyDescent="0.5">
      <c r="B38" s="330"/>
      <c r="C38" s="37" t="s">
        <v>83</v>
      </c>
      <c r="D38" s="24" t="s">
        <v>84</v>
      </c>
      <c r="E38" s="142"/>
      <c r="F38" s="142"/>
      <c r="G38" s="50" t="s">
        <v>85</v>
      </c>
      <c r="H38" s="202" t="s">
        <v>86</v>
      </c>
      <c r="I38" s="46" t="s">
        <v>125</v>
      </c>
      <c r="J38" s="63" t="s">
        <v>157</v>
      </c>
      <c r="K38" s="279" t="s">
        <v>225</v>
      </c>
      <c r="L38" s="27">
        <f t="shared" si="7"/>
        <v>1500</v>
      </c>
      <c r="M38" s="17">
        <v>25</v>
      </c>
      <c r="N38" s="17">
        <v>60</v>
      </c>
      <c r="O38" s="17">
        <f t="shared" si="1"/>
        <v>1500</v>
      </c>
      <c r="P38" s="75">
        <v>0.2</v>
      </c>
      <c r="Q38" s="75"/>
      <c r="R38" s="17">
        <f>ROUND((O38*P38),2)</f>
        <v>300</v>
      </c>
      <c r="S38" s="17">
        <f t="shared" si="3"/>
        <v>1200</v>
      </c>
      <c r="T38" s="76">
        <f t="shared" si="4"/>
        <v>127.5</v>
      </c>
      <c r="U38" s="45">
        <f t="shared" si="6"/>
        <v>1627.5</v>
      </c>
      <c r="V38" s="9">
        <f t="shared" si="8"/>
        <v>20</v>
      </c>
      <c r="W38" s="10"/>
    </row>
    <row r="39" spans="1:23" ht="50.1" customHeight="1" x14ac:dyDescent="0.5">
      <c r="B39" s="213"/>
      <c r="C39" s="37" t="s">
        <v>163</v>
      </c>
      <c r="D39" s="24"/>
      <c r="E39" s="163"/>
      <c r="F39" s="163"/>
      <c r="G39" s="50" t="s">
        <v>164</v>
      </c>
      <c r="H39" s="202" t="s">
        <v>166</v>
      </c>
      <c r="I39" s="165" t="s">
        <v>167</v>
      </c>
      <c r="J39" s="63"/>
      <c r="K39" s="280" t="s">
        <v>236</v>
      </c>
      <c r="L39" s="27">
        <v>250</v>
      </c>
      <c r="M39" s="17">
        <v>25</v>
      </c>
      <c r="N39" s="17">
        <v>10</v>
      </c>
      <c r="O39" s="17">
        <f t="shared" si="1"/>
        <v>250</v>
      </c>
      <c r="P39" s="75">
        <v>0.2</v>
      </c>
      <c r="Q39" s="75"/>
      <c r="R39" s="17">
        <f>ROUND((O39*P39),2)</f>
        <v>50</v>
      </c>
      <c r="S39" s="17">
        <f t="shared" si="3"/>
        <v>200</v>
      </c>
      <c r="T39" s="76">
        <f t="shared" si="4"/>
        <v>21.25</v>
      </c>
      <c r="U39" s="45">
        <f t="shared" si="6"/>
        <v>271.25</v>
      </c>
      <c r="V39" s="9">
        <f t="shared" si="8"/>
        <v>20</v>
      </c>
      <c r="W39" s="10">
        <f>+S39-192.5</f>
        <v>7.5</v>
      </c>
    </row>
    <row r="40" spans="1:23" ht="49.5" customHeight="1" x14ac:dyDescent="0.4">
      <c r="B40" s="218" t="s">
        <v>87</v>
      </c>
      <c r="C40" s="35" t="s">
        <v>88</v>
      </c>
      <c r="D40" s="40" t="s">
        <v>89</v>
      </c>
      <c r="E40" s="148"/>
      <c r="F40" s="148"/>
      <c r="G40" s="48" t="s">
        <v>71</v>
      </c>
      <c r="H40" s="211" t="s">
        <v>190</v>
      </c>
      <c r="I40" s="46" t="s">
        <v>126</v>
      </c>
      <c r="J40" s="69" t="s">
        <v>154</v>
      </c>
      <c r="K40" s="277" t="s">
        <v>221</v>
      </c>
      <c r="L40" s="25">
        <f t="shared" si="7"/>
        <v>1100</v>
      </c>
      <c r="M40" s="8">
        <v>25</v>
      </c>
      <c r="N40" s="8">
        <v>44</v>
      </c>
      <c r="O40" s="8">
        <f t="shared" si="1"/>
        <v>1100</v>
      </c>
      <c r="P40" s="71">
        <v>0.2</v>
      </c>
      <c r="Q40" s="71"/>
      <c r="R40" s="8">
        <f t="shared" si="2"/>
        <v>220</v>
      </c>
      <c r="S40" s="8">
        <f t="shared" si="3"/>
        <v>880</v>
      </c>
      <c r="T40" s="72">
        <f t="shared" si="4"/>
        <v>93.5</v>
      </c>
      <c r="U40" s="45">
        <f t="shared" si="6"/>
        <v>1193.5</v>
      </c>
      <c r="V40" s="9">
        <f t="shared" si="8"/>
        <v>20</v>
      </c>
      <c r="W40" s="10">
        <f>+U40</f>
        <v>1193.5</v>
      </c>
    </row>
    <row r="41" spans="1:23" ht="78" customHeight="1" thickBot="1" x14ac:dyDescent="0.45">
      <c r="B41" s="331" t="s">
        <v>194</v>
      </c>
      <c r="C41" s="43" t="s">
        <v>102</v>
      </c>
      <c r="D41" s="44" t="s">
        <v>94</v>
      </c>
      <c r="E41" s="336" t="s">
        <v>142</v>
      </c>
      <c r="F41" s="337"/>
      <c r="G41" s="338"/>
      <c r="H41" s="212" t="s">
        <v>191</v>
      </c>
      <c r="I41" s="46" t="s">
        <v>128</v>
      </c>
      <c r="J41" s="70"/>
      <c r="K41" s="278" t="s">
        <v>226</v>
      </c>
      <c r="L41" s="27">
        <f>+O41</f>
        <v>672</v>
      </c>
      <c r="M41" s="17">
        <v>32</v>
      </c>
      <c r="N41" s="17">
        <v>21</v>
      </c>
      <c r="O41" s="17">
        <f t="shared" si="1"/>
        <v>672</v>
      </c>
      <c r="P41" s="75">
        <v>0.2</v>
      </c>
      <c r="Q41" s="75"/>
      <c r="R41" s="17">
        <f t="shared" si="2"/>
        <v>134.4</v>
      </c>
      <c r="S41" s="193">
        <f t="shared" si="3"/>
        <v>537.6</v>
      </c>
      <c r="T41" s="76">
        <f t="shared" si="4"/>
        <v>57.12</v>
      </c>
      <c r="U41" s="45">
        <f t="shared" si="6"/>
        <v>729.12</v>
      </c>
      <c r="V41" s="9"/>
      <c r="W41" s="10"/>
    </row>
    <row r="42" spans="1:23" ht="57" customHeight="1" x14ac:dyDescent="0.5">
      <c r="B42" s="331"/>
      <c r="C42" s="219" t="s">
        <v>103</v>
      </c>
      <c r="D42" s="220" t="s">
        <v>93</v>
      </c>
      <c r="E42" s="221"/>
      <c r="F42" s="222"/>
      <c r="G42" s="223" t="s">
        <v>174</v>
      </c>
      <c r="H42" s="224" t="s">
        <v>192</v>
      </c>
      <c r="I42" s="225" t="s">
        <v>129</v>
      </c>
      <c r="J42" s="226">
        <v>585</v>
      </c>
      <c r="K42" s="275" t="s">
        <v>211</v>
      </c>
      <c r="L42" s="227">
        <v>375</v>
      </c>
      <c r="M42" s="228">
        <v>25</v>
      </c>
      <c r="N42" s="228">
        <v>15</v>
      </c>
      <c r="O42" s="17">
        <f t="shared" si="1"/>
        <v>375</v>
      </c>
      <c r="P42" s="75"/>
      <c r="Q42" s="75"/>
      <c r="R42" s="17">
        <f t="shared" si="2"/>
        <v>0</v>
      </c>
      <c r="S42" s="17">
        <f t="shared" si="3"/>
        <v>375</v>
      </c>
      <c r="T42" s="76"/>
      <c r="U42" s="45">
        <f>+S42+R42+T42</f>
        <v>375</v>
      </c>
      <c r="V42" s="9"/>
      <c r="W42" s="10"/>
    </row>
    <row r="43" spans="1:23" ht="154.5" customHeight="1" x14ac:dyDescent="0.4">
      <c r="B43" s="217" t="s">
        <v>212</v>
      </c>
      <c r="C43" s="41" t="s">
        <v>90</v>
      </c>
      <c r="D43" s="42" t="s">
        <v>198</v>
      </c>
      <c r="E43" s="42"/>
      <c r="F43" s="345" t="s">
        <v>91</v>
      </c>
      <c r="G43" s="346"/>
      <c r="H43" s="201" t="s">
        <v>92</v>
      </c>
      <c r="I43" s="46" t="s">
        <v>127</v>
      </c>
      <c r="J43" s="254" t="s">
        <v>214</v>
      </c>
      <c r="K43" s="289" t="s">
        <v>213</v>
      </c>
      <c r="L43" s="26">
        <v>700</v>
      </c>
      <c r="M43" s="13">
        <v>30</v>
      </c>
      <c r="N43" s="13">
        <f>700/M43</f>
        <v>23.333333333333332</v>
      </c>
      <c r="O43" s="13">
        <f>+M43*N43</f>
        <v>700</v>
      </c>
      <c r="P43" s="73">
        <v>0.21</v>
      </c>
      <c r="Q43" s="73" t="s">
        <v>244</v>
      </c>
      <c r="R43" s="13">
        <f>ROUND((O43*P43),2)</f>
        <v>147</v>
      </c>
      <c r="S43" s="13">
        <f>+R43+O43</f>
        <v>847</v>
      </c>
      <c r="T43" s="74"/>
      <c r="U43" s="45">
        <f>+S43</f>
        <v>847</v>
      </c>
      <c r="V43" s="9">
        <f>+S43/N43</f>
        <v>36.300000000000004</v>
      </c>
      <c r="W43" s="229" t="s">
        <v>199</v>
      </c>
    </row>
    <row r="44" spans="1:23" ht="50.1" customHeight="1" thickBot="1" x14ac:dyDescent="0.55000000000000004">
      <c r="B44" s="343" t="s">
        <v>193</v>
      </c>
      <c r="C44" s="328" t="s">
        <v>101</v>
      </c>
      <c r="D44" s="329"/>
      <c r="E44" s="329"/>
      <c r="F44" s="329"/>
      <c r="G44" s="170" t="s">
        <v>100</v>
      </c>
      <c r="H44" s="296" t="s">
        <v>251</v>
      </c>
      <c r="I44" s="171"/>
      <c r="J44" s="171"/>
      <c r="K44" s="172"/>
      <c r="L44" s="187">
        <v>2000</v>
      </c>
      <c r="M44" s="188">
        <v>20</v>
      </c>
      <c r="N44" s="188">
        <v>100</v>
      </c>
      <c r="O44" s="188"/>
      <c r="P44" s="189"/>
      <c r="Q44" s="190"/>
      <c r="R44" s="188"/>
      <c r="S44" s="191"/>
      <c r="T44" s="188"/>
      <c r="U44" s="192"/>
    </row>
    <row r="45" spans="1:23" ht="50.1" customHeight="1" thickTop="1" x14ac:dyDescent="0.4">
      <c r="B45" s="343"/>
      <c r="C45" s="173"/>
      <c r="D45" s="174"/>
      <c r="E45" s="174"/>
      <c r="F45" s="174"/>
      <c r="G45" s="175"/>
      <c r="H45" s="176"/>
      <c r="I45" s="176"/>
      <c r="J45" s="176"/>
      <c r="K45" s="177"/>
      <c r="L45" s="182">
        <f>+O45</f>
        <v>3000</v>
      </c>
      <c r="M45" s="183">
        <v>30</v>
      </c>
      <c r="N45" s="183">
        <v>100</v>
      </c>
      <c r="O45" s="183">
        <f>+M45*N45</f>
        <v>3000</v>
      </c>
      <c r="P45" s="168"/>
      <c r="Q45" s="169"/>
      <c r="R45" s="184">
        <f>ROUND((O45*P45),2)</f>
        <v>0</v>
      </c>
      <c r="S45" s="185">
        <f>ROUND((O45-R45),2)</f>
        <v>3000</v>
      </c>
      <c r="T45" s="184"/>
      <c r="U45" s="186">
        <f>+T45+S45+R45</f>
        <v>3000</v>
      </c>
    </row>
    <row r="46" spans="1:23" ht="50.1" customHeight="1" x14ac:dyDescent="0.5">
      <c r="A46" s="267"/>
      <c r="B46" s="343"/>
      <c r="C46" s="178" t="s">
        <v>168</v>
      </c>
      <c r="D46" s="179"/>
      <c r="E46" s="295" t="s">
        <v>271</v>
      </c>
      <c r="F46" s="324">
        <f>2399.76+1818.13</f>
        <v>4217.8900000000003</v>
      </c>
      <c r="G46" s="180" t="s">
        <v>169</v>
      </c>
      <c r="H46" s="347" t="s">
        <v>251</v>
      </c>
      <c r="I46" s="181" t="s">
        <v>140</v>
      </c>
      <c r="J46" s="167"/>
      <c r="K46" s="312" t="s">
        <v>227</v>
      </c>
      <c r="L46" s="27">
        <v>999.9</v>
      </c>
      <c r="M46" s="34">
        <v>30</v>
      </c>
      <c r="N46" s="17">
        <v>33.33</v>
      </c>
      <c r="O46" s="17">
        <f>+M46*N46</f>
        <v>999.9</v>
      </c>
      <c r="P46" s="75"/>
      <c r="Q46" s="75"/>
      <c r="R46" s="17"/>
      <c r="S46" s="17">
        <f>+O46</f>
        <v>999.9</v>
      </c>
      <c r="T46" s="76"/>
      <c r="U46" s="45">
        <f t="shared" ref="U46:U57" si="9">+S46+R46+T46</f>
        <v>999.9</v>
      </c>
      <c r="V46" s="162"/>
      <c r="W46" s="315">
        <f>+U46+U47</f>
        <v>1599.84</v>
      </c>
    </row>
    <row r="47" spans="1:23" ht="50.1" customHeight="1" x14ac:dyDescent="0.5">
      <c r="B47" s="343"/>
      <c r="C47" s="349" t="s">
        <v>263</v>
      </c>
      <c r="D47" s="348"/>
      <c r="E47" s="348"/>
      <c r="F47" s="348"/>
      <c r="G47" s="180"/>
      <c r="H47" s="348"/>
      <c r="I47" s="181"/>
      <c r="J47" s="167"/>
      <c r="K47" s="313"/>
      <c r="L47" s="234">
        <v>599.94000000000005</v>
      </c>
      <c r="M47" s="34">
        <v>18</v>
      </c>
      <c r="N47" s="235">
        <v>33.33</v>
      </c>
      <c r="O47" s="235">
        <f>+M47*N47</f>
        <v>599.93999999999994</v>
      </c>
      <c r="P47" s="236"/>
      <c r="Q47" s="236"/>
      <c r="R47" s="235"/>
      <c r="S47" s="17">
        <f>+O47</f>
        <v>599.93999999999994</v>
      </c>
      <c r="T47" s="76"/>
      <c r="U47" s="45">
        <f t="shared" si="9"/>
        <v>599.93999999999994</v>
      </c>
      <c r="V47" s="162"/>
    </row>
    <row r="48" spans="1:23" ht="50.1" customHeight="1" x14ac:dyDescent="0.5">
      <c r="A48" s="267"/>
      <c r="B48" s="343"/>
      <c r="C48" s="320" t="s">
        <v>264</v>
      </c>
      <c r="D48" s="317">
        <v>1575</v>
      </c>
      <c r="E48" s="317">
        <f>+D48+D49+D50+D51+D52+D53+D54</f>
        <v>4263</v>
      </c>
      <c r="F48" s="319">
        <f>+U46+U47+U49+U50+U51</f>
        <v>5179.9803080000002</v>
      </c>
      <c r="G48" s="166" t="s">
        <v>170</v>
      </c>
      <c r="H48" s="299" t="s">
        <v>253</v>
      </c>
      <c r="I48" s="181" t="s">
        <v>140</v>
      </c>
      <c r="J48" s="167"/>
      <c r="K48" s="312" t="s">
        <v>228</v>
      </c>
      <c r="L48" s="27">
        <v>999.9</v>
      </c>
      <c r="M48" s="34">
        <v>30</v>
      </c>
      <c r="N48" s="17">
        <f>1435.74/49</f>
        <v>29.300816326530612</v>
      </c>
      <c r="O48" s="17" t="s">
        <v>254</v>
      </c>
      <c r="P48" s="300" t="s">
        <v>255</v>
      </c>
      <c r="Q48" s="75" t="s">
        <v>256</v>
      </c>
      <c r="R48" s="17"/>
      <c r="S48" s="17"/>
      <c r="T48" s="76"/>
      <c r="U48" s="45"/>
      <c r="W48" s="259"/>
    </row>
    <row r="49" spans="1:23" ht="50.1" customHeight="1" x14ac:dyDescent="0.45">
      <c r="B49" s="344"/>
      <c r="C49" s="320" t="s">
        <v>265</v>
      </c>
      <c r="D49" s="317">
        <f>183+300+159</f>
        <v>642</v>
      </c>
      <c r="E49" s="317"/>
      <c r="F49" s="167"/>
      <c r="G49" s="166"/>
      <c r="H49" s="167"/>
      <c r="I49" s="167"/>
      <c r="J49" s="167"/>
      <c r="K49" s="313"/>
      <c r="L49" s="234">
        <v>633.27</v>
      </c>
      <c r="M49" s="34">
        <v>19</v>
      </c>
      <c r="N49" s="235">
        <f>+N48*(M48+M49)</f>
        <v>1435.74</v>
      </c>
      <c r="O49" s="17">
        <f>+N49*0.02</f>
        <v>28.7148</v>
      </c>
      <c r="P49" s="301">
        <f>+(N49+O49)*0.21</f>
        <v>307.53550799999999</v>
      </c>
      <c r="Q49" s="17">
        <f>+N49+O49+P49</f>
        <v>1771.9903079999999</v>
      </c>
      <c r="R49" s="235">
        <f>+N49*0.2</f>
        <v>287.14800000000002</v>
      </c>
      <c r="S49" s="17">
        <f>+Q49-R49</f>
        <v>1484.8423079999998</v>
      </c>
      <c r="T49" s="76"/>
      <c r="U49" s="45">
        <f>+R49+S49</f>
        <v>1771.9903079999999</v>
      </c>
      <c r="W49" s="162"/>
    </row>
    <row r="50" spans="1:23" ht="50.1" customHeight="1" x14ac:dyDescent="0.45">
      <c r="A50" s="267"/>
      <c r="B50" s="343"/>
      <c r="C50" s="321" t="s">
        <v>266</v>
      </c>
      <c r="D50" s="317">
        <f>3*269</f>
        <v>807</v>
      </c>
      <c r="E50" s="317"/>
      <c r="F50" s="167"/>
      <c r="G50" s="166" t="s">
        <v>171</v>
      </c>
      <c r="H50" s="167"/>
      <c r="I50" s="181" t="s">
        <v>140</v>
      </c>
      <c r="J50" s="310"/>
      <c r="K50" s="314" t="s">
        <v>229</v>
      </c>
      <c r="L50" s="235">
        <v>999.9</v>
      </c>
      <c r="M50" s="34">
        <v>30</v>
      </c>
      <c r="N50" s="17">
        <v>33.33</v>
      </c>
      <c r="O50" s="17">
        <f t="shared" ref="O50:O57" si="10">+M50*N50</f>
        <v>999.9</v>
      </c>
      <c r="P50" s="75">
        <v>0.2</v>
      </c>
      <c r="Q50" s="75"/>
      <c r="R50" s="17">
        <f t="shared" ref="R50:R55" si="11">ROUND((O50*P50),2)</f>
        <v>199.98</v>
      </c>
      <c r="S50" s="17">
        <f t="shared" ref="S50:S57" si="12">ROUND((O50-R50),2)</f>
        <v>799.92</v>
      </c>
      <c r="T50" s="76">
        <f t="shared" ref="T50:T55" si="13">ROUND((O50*0.085),2)</f>
        <v>84.99</v>
      </c>
      <c r="U50" s="45">
        <f t="shared" si="9"/>
        <v>1084.8899999999999</v>
      </c>
      <c r="W50" s="316">
        <f>+U50+U51</f>
        <v>1808.1499999999996</v>
      </c>
    </row>
    <row r="51" spans="1:23" ht="50.1" customHeight="1" x14ac:dyDescent="0.45">
      <c r="A51" s="267"/>
      <c r="B51" s="237"/>
      <c r="C51" s="322" t="s">
        <v>267</v>
      </c>
      <c r="D51" s="323">
        <f>3*139</f>
        <v>417</v>
      </c>
      <c r="E51" s="317"/>
      <c r="F51" s="167"/>
      <c r="G51" s="166"/>
      <c r="H51" s="167"/>
      <c r="I51" s="181"/>
      <c r="J51" s="167"/>
      <c r="K51" s="268"/>
      <c r="L51" s="235">
        <v>666.6</v>
      </c>
      <c r="M51" s="215">
        <v>20</v>
      </c>
      <c r="N51" s="228">
        <v>33.33</v>
      </c>
      <c r="O51" s="228">
        <f t="shared" ref="O51" si="14">+M51*N51</f>
        <v>666.59999999999991</v>
      </c>
      <c r="P51" s="239">
        <v>0.2</v>
      </c>
      <c r="Q51" s="216"/>
      <c r="R51" s="228">
        <f t="shared" ref="R51:R52" si="15">ROUND((O51*P51),2)</f>
        <v>133.32</v>
      </c>
      <c r="S51" s="17">
        <f t="shared" ref="S51" si="16">ROUND((O51-R51),2)</f>
        <v>533.28</v>
      </c>
      <c r="T51" s="76">
        <f t="shared" ref="T51" si="17">ROUND((O51*0.085),2)</f>
        <v>56.66</v>
      </c>
      <c r="U51" s="45">
        <f t="shared" ref="U51:U52" si="18">+S51+R51+T51</f>
        <v>723.25999999999988</v>
      </c>
    </row>
    <row r="52" spans="1:23" ht="50.1" customHeight="1" x14ac:dyDescent="0.5">
      <c r="A52" s="267"/>
      <c r="B52" s="237"/>
      <c r="C52" s="322" t="s">
        <v>268</v>
      </c>
      <c r="D52" s="318">
        <f>+(48+69+41)*3</f>
        <v>474</v>
      </c>
      <c r="E52" s="317"/>
      <c r="F52" s="167"/>
      <c r="G52" s="166" t="s">
        <v>233</v>
      </c>
      <c r="H52" s="295" t="s">
        <v>250</v>
      </c>
      <c r="I52" s="181"/>
      <c r="J52" s="167"/>
      <c r="K52" s="268"/>
      <c r="L52" s="235"/>
      <c r="M52" s="215"/>
      <c r="N52" s="228"/>
      <c r="O52" s="228">
        <v>300</v>
      </c>
      <c r="P52" s="239">
        <v>0.2</v>
      </c>
      <c r="Q52" s="216"/>
      <c r="R52" s="228">
        <f t="shared" si="15"/>
        <v>60</v>
      </c>
      <c r="S52" s="17">
        <f>363-60</f>
        <v>303</v>
      </c>
      <c r="T52" s="76"/>
      <c r="U52" s="45">
        <f t="shared" si="18"/>
        <v>363</v>
      </c>
      <c r="V52" s="293">
        <v>1.81</v>
      </c>
      <c r="W52" s="294">
        <f>+S52+V52</f>
        <v>304.81</v>
      </c>
    </row>
    <row r="53" spans="1:23" ht="50.1" customHeight="1" x14ac:dyDescent="0.5">
      <c r="A53" s="267"/>
      <c r="B53" s="237"/>
      <c r="C53" s="322" t="s">
        <v>269</v>
      </c>
      <c r="D53" s="318">
        <f>3*77</f>
        <v>231</v>
      </c>
      <c r="E53" s="317"/>
      <c r="F53" s="167"/>
      <c r="G53" s="166" t="s">
        <v>247</v>
      </c>
      <c r="H53" s="295" t="s">
        <v>250</v>
      </c>
      <c r="I53" s="181"/>
      <c r="J53" s="167"/>
      <c r="K53" s="268"/>
      <c r="L53" s="235"/>
      <c r="M53" s="215"/>
      <c r="N53" s="228"/>
      <c r="O53" s="17">
        <v>260</v>
      </c>
      <c r="P53" s="75">
        <v>0.2</v>
      </c>
      <c r="Q53" s="216"/>
      <c r="R53" s="17">
        <f>ROUND((O53*P53),2)</f>
        <v>52</v>
      </c>
      <c r="S53" s="17">
        <f>314.6-52</f>
        <v>262.60000000000002</v>
      </c>
      <c r="T53" s="76"/>
      <c r="U53" s="45">
        <f t="shared" si="9"/>
        <v>314.60000000000002</v>
      </c>
    </row>
    <row r="54" spans="1:23" ht="50.1" customHeight="1" x14ac:dyDescent="0.45">
      <c r="A54" s="267"/>
      <c r="B54" s="237"/>
      <c r="C54" s="322" t="s">
        <v>270</v>
      </c>
      <c r="D54" s="318">
        <v>117</v>
      </c>
      <c r="E54" s="167"/>
      <c r="F54" s="167"/>
      <c r="G54" s="166" t="s">
        <v>248</v>
      </c>
      <c r="H54" s="167"/>
      <c r="I54" s="181"/>
      <c r="J54" s="167"/>
      <c r="K54" s="268"/>
      <c r="L54" s="235"/>
      <c r="M54" s="215"/>
      <c r="N54" s="228"/>
      <c r="O54" s="17">
        <v>125</v>
      </c>
      <c r="P54" s="75">
        <v>0.2</v>
      </c>
      <c r="Q54" s="216"/>
      <c r="R54" s="17">
        <f t="shared" si="11"/>
        <v>25</v>
      </c>
      <c r="S54" s="17">
        <f t="shared" si="12"/>
        <v>100</v>
      </c>
      <c r="T54" s="76">
        <f t="shared" si="13"/>
        <v>10.63</v>
      </c>
      <c r="U54" s="45">
        <f t="shared" si="9"/>
        <v>135.63</v>
      </c>
      <c r="W54">
        <f>130*20/100</f>
        <v>26</v>
      </c>
    </row>
    <row r="55" spans="1:23" ht="89.25" customHeight="1" x14ac:dyDescent="0.5">
      <c r="B55" s="237"/>
      <c r="C55" s="167"/>
      <c r="D55" s="167"/>
      <c r="E55" s="325" t="s">
        <v>272</v>
      </c>
      <c r="F55" s="326">
        <f>+F48-E48</f>
        <v>916.98030800000015</v>
      </c>
      <c r="G55" s="166" t="s">
        <v>249</v>
      </c>
      <c r="H55" s="297" t="s">
        <v>252</v>
      </c>
      <c r="I55" s="167"/>
      <c r="J55" s="167"/>
      <c r="K55" s="167"/>
      <c r="L55" s="235"/>
      <c r="M55" s="215"/>
      <c r="N55" s="228"/>
      <c r="O55" s="228">
        <f t="shared" si="10"/>
        <v>0</v>
      </c>
      <c r="P55" s="239">
        <v>0.2</v>
      </c>
      <c r="Q55" s="216"/>
      <c r="R55" s="228">
        <f t="shared" si="11"/>
        <v>0</v>
      </c>
      <c r="S55" s="17">
        <v>105.81</v>
      </c>
      <c r="T55" s="76">
        <f t="shared" si="13"/>
        <v>0</v>
      </c>
      <c r="U55" s="45">
        <f t="shared" si="9"/>
        <v>105.81</v>
      </c>
    </row>
    <row r="56" spans="1:23" ht="50.1" customHeight="1" x14ac:dyDescent="0.4">
      <c r="D56" s="244"/>
      <c r="E56" s="245"/>
      <c r="F56" s="327"/>
      <c r="G56" s="246" t="s">
        <v>195</v>
      </c>
      <c r="H56" s="298"/>
      <c r="I56" s="247" t="s">
        <v>196</v>
      </c>
      <c r="J56" s="245"/>
      <c r="K56" s="248"/>
      <c r="L56" s="235"/>
      <c r="M56" s="241">
        <v>24</v>
      </c>
      <c r="N56" s="235">
        <v>45</v>
      </c>
      <c r="O56" s="235">
        <f t="shared" si="10"/>
        <v>1080</v>
      </c>
      <c r="P56" s="236">
        <v>0.2</v>
      </c>
      <c r="Q56" s="242"/>
      <c r="R56" s="235">
        <f>ROUND((O56*P56),2)</f>
        <v>216</v>
      </c>
      <c r="S56" s="235">
        <f t="shared" si="12"/>
        <v>864</v>
      </c>
      <c r="T56" s="238"/>
      <c r="U56" s="240">
        <f t="shared" si="9"/>
        <v>1080</v>
      </c>
      <c r="V56">
        <f>2160*8.5/100</f>
        <v>183.6</v>
      </c>
    </row>
    <row r="57" spans="1:23" ht="50.1" customHeight="1" x14ac:dyDescent="0.4">
      <c r="D57" s="249"/>
      <c r="E57" s="250"/>
      <c r="F57" s="250"/>
      <c r="G57" s="251" t="s">
        <v>195</v>
      </c>
      <c r="H57" s="250"/>
      <c r="I57" s="252" t="s">
        <v>207</v>
      </c>
      <c r="J57" s="250"/>
      <c r="K57" s="253"/>
      <c r="L57" s="235">
        <v>2160</v>
      </c>
      <c r="M57" s="241">
        <v>48</v>
      </c>
      <c r="N57" s="235">
        <v>45</v>
      </c>
      <c r="O57" s="235">
        <f t="shared" si="10"/>
        <v>2160</v>
      </c>
      <c r="P57" s="236">
        <v>0.2</v>
      </c>
      <c r="Q57" s="242"/>
      <c r="R57" s="235">
        <f>ROUND((O57*P57),2)</f>
        <v>432</v>
      </c>
      <c r="S57" s="235">
        <f t="shared" si="12"/>
        <v>1728</v>
      </c>
      <c r="T57" s="242"/>
      <c r="U57" s="243">
        <f t="shared" si="9"/>
        <v>2160</v>
      </c>
      <c r="V57">
        <f>1080*8.5/100</f>
        <v>91.8</v>
      </c>
    </row>
    <row r="58" spans="1:23" ht="50.1" customHeight="1" x14ac:dyDescent="0.5">
      <c r="D58" s="233"/>
      <c r="E58" s="233"/>
      <c r="F58" s="233"/>
      <c r="G58" s="233"/>
      <c r="H58" s="233">
        <f>182+133+140</f>
        <v>455</v>
      </c>
      <c r="I58" s="233"/>
      <c r="K58" s="233">
        <f>304.81-240</f>
        <v>64.81</v>
      </c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W58">
        <f>+W57+V57</f>
        <v>91.8</v>
      </c>
    </row>
    <row r="59" spans="1:23" ht="26.25" customHeight="1" x14ac:dyDescent="0.5"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W59">
        <f>+W58+U58</f>
        <v>91.8</v>
      </c>
    </row>
    <row r="60" spans="1:23" ht="49.5" hidden="1" customHeight="1" x14ac:dyDescent="0.5">
      <c r="C60" s="233"/>
      <c r="D60" s="233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</row>
    <row r="61" spans="1:23" ht="49.5" hidden="1" customHeight="1" x14ac:dyDescent="0.5"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33"/>
      <c r="T61" s="233"/>
      <c r="U61" s="233"/>
    </row>
    <row r="62" spans="1:23" ht="50.1" customHeight="1" x14ac:dyDescent="0.5">
      <c r="J62" s="233"/>
    </row>
    <row r="63" spans="1:23" ht="50.1" customHeight="1" x14ac:dyDescent="0.5">
      <c r="C63" s="194"/>
      <c r="D63" s="194"/>
      <c r="E63" s="194"/>
      <c r="F63" s="194"/>
      <c r="G63" s="233" t="s">
        <v>173</v>
      </c>
      <c r="H63" s="194"/>
      <c r="I63" s="195" t="s">
        <v>172</v>
      </c>
      <c r="K63" s="270" t="s">
        <v>235</v>
      </c>
      <c r="L63" s="194">
        <f>450+400</f>
        <v>850</v>
      </c>
      <c r="M63" s="34">
        <v>18</v>
      </c>
      <c r="N63" s="17">
        <v>35</v>
      </c>
      <c r="O63" s="17">
        <f>+M63*N63</f>
        <v>630</v>
      </c>
      <c r="P63" s="75">
        <v>0.2</v>
      </c>
      <c r="Q63" s="75"/>
      <c r="R63" s="17">
        <f>ROUND((O63*P63),2)</f>
        <v>126</v>
      </c>
      <c r="S63" s="17">
        <f>ROUND((O63-R63),2)</f>
        <v>504</v>
      </c>
      <c r="T63" s="76">
        <f>ROUND((O63*0.085),2)</f>
        <v>53.55</v>
      </c>
      <c r="U63" s="45">
        <f>+S63+R63+T63</f>
        <v>683.55</v>
      </c>
      <c r="V63" s="162">
        <f>+S63+R63+T63</f>
        <v>683.55</v>
      </c>
    </row>
    <row r="64" spans="1:23" ht="50.1" customHeight="1" x14ac:dyDescent="0.5">
      <c r="C64" s="194"/>
      <c r="D64" s="194"/>
      <c r="E64" s="194"/>
      <c r="F64" s="194"/>
      <c r="G64" s="194"/>
      <c r="H64" s="194"/>
      <c r="I64" s="195"/>
      <c r="J64" s="194"/>
      <c r="K64" s="194"/>
      <c r="L64" s="235"/>
      <c r="M64" s="215"/>
      <c r="N64" s="17"/>
      <c r="O64" s="17"/>
      <c r="P64" s="75"/>
      <c r="Q64" s="216"/>
      <c r="R64" s="17">
        <f>+R63-87.5</f>
        <v>38.5</v>
      </c>
      <c r="S64" s="17">
        <f>350+154</f>
        <v>504</v>
      </c>
      <c r="T64" s="76">
        <f>+T63-37.19</f>
        <v>16.36</v>
      </c>
      <c r="U64" s="45"/>
      <c r="V64" s="162"/>
    </row>
    <row r="65" spans="7:22" ht="50.1" customHeight="1" x14ac:dyDescent="0.7">
      <c r="G65" s="304" t="s">
        <v>262</v>
      </c>
      <c r="H65" s="305"/>
      <c r="I65" s="305"/>
      <c r="J65" s="306"/>
      <c r="K65" s="305"/>
      <c r="L65" s="305"/>
      <c r="M65" s="98"/>
      <c r="N65" s="305"/>
      <c r="O65" s="305"/>
      <c r="P65" s="305"/>
      <c r="Q65" s="305"/>
      <c r="R65" s="307">
        <v>912</v>
      </c>
      <c r="S65" s="307">
        <v>3648</v>
      </c>
      <c r="T65" s="307">
        <v>387.7</v>
      </c>
      <c r="U65" s="305"/>
      <c r="V65" s="162"/>
    </row>
    <row r="66" spans="7:22" ht="50.1" customHeight="1" x14ac:dyDescent="0.7">
      <c r="G66" s="308" t="s">
        <v>247</v>
      </c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7"/>
      <c r="S66" s="307"/>
      <c r="T66" s="307"/>
      <c r="U66" s="305"/>
    </row>
    <row r="67" spans="7:22" ht="26.25" x14ac:dyDescent="0.4">
      <c r="G67" s="309" t="s">
        <v>259</v>
      </c>
      <c r="H67" s="308" t="s">
        <v>260</v>
      </c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</row>
    <row r="69" spans="7:22" ht="36" x14ac:dyDescent="0.55000000000000004">
      <c r="G69" s="302" t="s">
        <v>258</v>
      </c>
    </row>
    <row r="71" spans="7:22" ht="28.5" x14ac:dyDescent="0.45">
      <c r="G71" s="303" t="s">
        <v>261</v>
      </c>
    </row>
    <row r="72" spans="7:22" ht="21" x14ac:dyDescent="0.35">
      <c r="I72" s="118"/>
    </row>
    <row r="73" spans="7:22" ht="21" x14ac:dyDescent="0.35">
      <c r="I73" s="118"/>
    </row>
    <row r="74" spans="7:22" ht="21" x14ac:dyDescent="0.35">
      <c r="I74" s="118"/>
    </row>
    <row r="75" spans="7:22" ht="21" x14ac:dyDescent="0.35">
      <c r="I75" s="118"/>
    </row>
    <row r="76" spans="7:22" ht="21" x14ac:dyDescent="0.35">
      <c r="I76" s="118"/>
    </row>
    <row r="77" spans="7:22" ht="21" x14ac:dyDescent="0.35">
      <c r="I77" s="118"/>
    </row>
    <row r="80" spans="7:22" ht="18.75" x14ac:dyDescent="0.3">
      <c r="I80" s="119"/>
    </row>
  </sheetData>
  <mergeCells count="15">
    <mergeCell ref="C44:F44"/>
    <mergeCell ref="B37:B38"/>
    <mergeCell ref="B41:B42"/>
    <mergeCell ref="C3:V4"/>
    <mergeCell ref="B11:B13"/>
    <mergeCell ref="B14:B22"/>
    <mergeCell ref="B27:B30"/>
    <mergeCell ref="B34:B36"/>
    <mergeCell ref="E41:G41"/>
    <mergeCell ref="B25:B26"/>
    <mergeCell ref="B31:B33"/>
    <mergeCell ref="B44:B50"/>
    <mergeCell ref="F43:G43"/>
    <mergeCell ref="H46:H47"/>
    <mergeCell ref="C47:F47"/>
  </mergeCells>
  <pageMargins left="0.70866141732283472" right="0.70866141732283472" top="0.74803149606299213" bottom="0.74803149606299213" header="0.31496062992125984" footer="0.31496062992125984"/>
  <pageSetup paperSize="8" scale="2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1:E23"/>
  <sheetViews>
    <sheetView workbookViewId="0">
      <selection activeCell="E24" sqref="E24"/>
    </sheetView>
  </sheetViews>
  <sheetFormatPr defaultRowHeight="15" x14ac:dyDescent="0.25"/>
  <sheetData>
    <row r="21" spans="5:5" x14ac:dyDescent="0.25">
      <c r="E21">
        <f>770.25+1440</f>
        <v>2210.25</v>
      </c>
    </row>
    <row r="23" spans="5:5" x14ac:dyDescent="0.25">
      <c r="E23">
        <f>59.52+122.4</f>
        <v>181.92000000000002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2013-12-04T08:32:54Z</dcterms:modified>
</cp:coreProperties>
</file>